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ata\Forms\Term Sheets and  Application Forms\"/>
    </mc:Choice>
  </mc:AlternateContent>
  <xr:revisionPtr revIDLastSave="0" documentId="13_ncr:1_{DD399551-AE01-4166-BA7D-CDAD969855B4}" xr6:coauthVersionLast="47" xr6:coauthVersionMax="47" xr10:uidLastSave="{00000000-0000-0000-0000-000000000000}"/>
  <bookViews>
    <workbookView xWindow="45516" yWindow="-4860" windowWidth="20352" windowHeight="18384" tabRatio="897" xr2:uid="{00000000-000D-0000-FFFF-FFFF00000000}"/>
  </bookViews>
  <sheets>
    <sheet name="Application" sheetId="24" r:id="rId1"/>
    <sheet name="Financial Model" sheetId="21" r:id="rId2"/>
    <sheet name="5year+sale" sheetId="20" state="hidden" r:id="rId3"/>
    <sheet name="Rents &amp; Income Limits" sheetId="25" r:id="rId4"/>
  </sheets>
  <externalReferences>
    <externalReference r:id="rId5"/>
    <externalReference r:id="rId6"/>
  </externalReferences>
  <definedNames>
    <definedName name="expenses">#REF!</definedName>
    <definedName name="GOI">#REF!</definedName>
    <definedName name="NOIACTUAL">#REF!</definedName>
    <definedName name="NOIPROFORMA">#REF!</definedName>
    <definedName name="otherincome">#REF!</definedName>
    <definedName name="price">'5year+sale'!$E$39</definedName>
    <definedName name="_xlnm.Print_Area" localSheetId="2">'5year+sale'!$A$1:$T$57</definedName>
    <definedName name="_xlnm.Print_Area" localSheetId="0">Application!$A$1:$G$90</definedName>
    <definedName name="_xlnm.Print_Area" localSheetId="1">'Financial Model'!$A$1:$M$64</definedName>
    <definedName name="_xlnm.Print_Area" localSheetId="3">'Rents &amp; Income Limits'!$A$1:$V$36</definedName>
    <definedName name="totalsf">'Financial Model'!$K$21</definedName>
    <definedName name="TotalUnits">'Financial Model'!$B$21</definedName>
    <definedName name="Turnover_Time_Days">'[1]Main Assump'!#REF!</definedName>
    <definedName name="Turnover_Time_Year_One">[1]Year1!#REF!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1" i="24" l="1"/>
  <c r="E70" i="24"/>
  <c r="D44" i="24"/>
  <c r="F41" i="24" s="1"/>
  <c r="E43" i="24"/>
  <c r="E42" i="24"/>
  <c r="E41" i="24"/>
  <c r="D38" i="24"/>
  <c r="D37" i="24"/>
  <c r="E37" i="24" s="1"/>
  <c r="E35" i="24"/>
  <c r="E72" i="24" l="1"/>
  <c r="D39" i="24"/>
  <c r="F39" i="24" s="1"/>
  <c r="F42" i="24"/>
  <c r="E38" i="24"/>
  <c r="F43" i="24"/>
  <c r="F44" i="24"/>
  <c r="F38" i="24" l="1"/>
  <c r="F37" i="24"/>
  <c r="D46" i="24"/>
  <c r="F35" i="24"/>
  <c r="J7" i="21"/>
  <c r="J6" i="21"/>
  <c r="J5" i="21"/>
  <c r="J3" i="21"/>
  <c r="D5" i="21"/>
  <c r="D4" i="21"/>
  <c r="D3" i="21"/>
  <c r="K16" i="21"/>
  <c r="K15" i="21"/>
  <c r="K14" i="21"/>
  <c r="K13" i="21"/>
  <c r="K12" i="21"/>
  <c r="K11" i="21"/>
  <c r="K10" i="21"/>
  <c r="D21" i="21"/>
  <c r="E40" i="20"/>
  <c r="E43" i="20"/>
  <c r="E42" i="20"/>
  <c r="C9" i="20"/>
  <c r="C7" i="20"/>
  <c r="C5" i="20"/>
  <c r="I56" i="21"/>
  <c r="I55" i="21"/>
  <c r="I54" i="21"/>
  <c r="I52" i="21"/>
  <c r="I48" i="21"/>
  <c r="I46" i="21"/>
  <c r="I45" i="21"/>
  <c r="I44" i="21"/>
  <c r="I43" i="21"/>
  <c r="I42" i="21"/>
  <c r="I38" i="21"/>
  <c r="I37" i="21"/>
  <c r="I36" i="21"/>
  <c r="I33" i="21"/>
  <c r="G56" i="21"/>
  <c r="G55" i="21"/>
  <c r="G54" i="21"/>
  <c r="G52" i="21"/>
  <c r="G48" i="21"/>
  <c r="G46" i="21"/>
  <c r="G45" i="21"/>
  <c r="G44" i="21"/>
  <c r="G43" i="21"/>
  <c r="G42" i="21"/>
  <c r="G38" i="21"/>
  <c r="G37" i="21"/>
  <c r="G36" i="21"/>
  <c r="G33" i="21"/>
  <c r="K19" i="21"/>
  <c r="K18" i="21"/>
  <c r="K17" i="21"/>
  <c r="B21" i="21"/>
  <c r="Q18" i="21"/>
  <c r="P18" i="21"/>
  <c r="O18" i="21"/>
  <c r="Q17" i="21"/>
  <c r="P17" i="21"/>
  <c r="O17" i="21"/>
  <c r="Q16" i="21"/>
  <c r="P16" i="21"/>
  <c r="O16" i="21"/>
  <c r="Q15" i="21"/>
  <c r="P15" i="21"/>
  <c r="O15" i="21"/>
  <c r="Q14" i="21"/>
  <c r="P14" i="21"/>
  <c r="O14" i="21"/>
  <c r="Q13" i="21"/>
  <c r="P13" i="21"/>
  <c r="O13" i="21"/>
  <c r="Q9" i="21"/>
  <c r="P9" i="21"/>
  <c r="O9" i="21"/>
  <c r="Q19" i="21"/>
  <c r="P19" i="21"/>
  <c r="Q12" i="21"/>
  <c r="P12" i="21"/>
  <c r="Q11" i="21"/>
  <c r="P11" i="21"/>
  <c r="Q10" i="21"/>
  <c r="P10" i="21"/>
  <c r="O19" i="21"/>
  <c r="O12" i="21"/>
  <c r="O10" i="21"/>
  <c r="O11" i="21"/>
  <c r="D83" i="20"/>
  <c r="I47" i="21"/>
  <c r="I49" i="21"/>
  <c r="G47" i="21"/>
  <c r="G49" i="21"/>
  <c r="I53" i="21"/>
  <c r="I51" i="21"/>
  <c r="I34" i="21"/>
  <c r="H57" i="21"/>
  <c r="H58" i="21" s="1"/>
  <c r="I32" i="21"/>
  <c r="I41" i="21"/>
  <c r="I39" i="21"/>
  <c r="I50" i="21"/>
  <c r="I40" i="21"/>
  <c r="I35" i="21"/>
  <c r="I57" i="21"/>
  <c r="O21" i="21"/>
  <c r="G9" i="20" s="1"/>
  <c r="H21" i="21"/>
  <c r="K21" i="21"/>
  <c r="Q21" i="21"/>
  <c r="P21" i="21"/>
  <c r="I21" i="21"/>
  <c r="J21" i="21"/>
  <c r="J24" i="21"/>
  <c r="G5" i="20" s="1"/>
  <c r="I25" i="21"/>
  <c r="G7" i="20"/>
  <c r="G8" i="20" s="1"/>
  <c r="D8" i="20" s="1"/>
  <c r="G34" i="21"/>
  <c r="G39" i="21"/>
  <c r="G41" i="21"/>
  <c r="G32" i="21"/>
  <c r="G35" i="21"/>
  <c r="G57" i="21"/>
  <c r="G40" i="21"/>
  <c r="G50" i="21"/>
  <c r="G53" i="21"/>
  <c r="G51" i="21"/>
  <c r="J25" i="21"/>
  <c r="E39" i="20" l="1"/>
  <c r="K22" i="20" s="1"/>
  <c r="G22" i="20"/>
  <c r="I62" i="21"/>
  <c r="H62" i="21" s="1"/>
  <c r="E41" i="20"/>
  <c r="Q6" i="20"/>
  <c r="Q31" i="20"/>
  <c r="U31" i="20" s="1"/>
  <c r="H22" i="20"/>
  <c r="I22" i="20"/>
  <c r="I42" i="20"/>
  <c r="I43" i="20" s="1"/>
  <c r="G19" i="20" s="1"/>
  <c r="G27" i="20" s="1"/>
  <c r="G10" i="20"/>
  <c r="G11" i="20"/>
  <c r="G12" i="20" s="1"/>
  <c r="H12" i="20" s="1"/>
  <c r="I12" i="20" s="1"/>
  <c r="J12" i="20" s="1"/>
  <c r="K12" i="20" s="1"/>
  <c r="L12" i="20" s="1"/>
  <c r="G6" i="20"/>
  <c r="D6" i="20" s="1"/>
  <c r="H5" i="20"/>
  <c r="G58" i="21"/>
  <c r="I58" i="21"/>
  <c r="G15" i="20"/>
  <c r="H15" i="20" s="1"/>
  <c r="I15" i="20" s="1"/>
  <c r="J15" i="20" s="1"/>
  <c r="K15" i="20" s="1"/>
  <c r="L15" i="20" s="1"/>
  <c r="H26" i="21"/>
  <c r="I18" i="20" l="1"/>
  <c r="Q40" i="20"/>
  <c r="J22" i="20"/>
  <c r="Q8" i="20" s="1"/>
  <c r="J18" i="20"/>
  <c r="H19" i="20"/>
  <c r="I19" i="20" s="1"/>
  <c r="H18" i="20"/>
  <c r="I20" i="20" s="1"/>
  <c r="K18" i="20"/>
  <c r="Q23" i="20" s="1"/>
  <c r="G18" i="20"/>
  <c r="G20" i="20" s="1"/>
  <c r="G21" i="20" s="1"/>
  <c r="H27" i="21"/>
  <c r="J26" i="21"/>
  <c r="H6" i="20"/>
  <c r="I6" i="20"/>
  <c r="H27" i="20"/>
  <c r="I5" i="20"/>
  <c r="H7" i="20"/>
  <c r="Q17" i="20" l="1"/>
  <c r="Q25" i="20" s="1"/>
  <c r="Q9" i="20"/>
  <c r="Q15" i="20" s="1"/>
  <c r="U40" i="20"/>
  <c r="Q49" i="20"/>
  <c r="U49" i="20" s="1"/>
  <c r="H20" i="20"/>
  <c r="H21" i="20" s="1"/>
  <c r="K20" i="20"/>
  <c r="J20" i="20"/>
  <c r="I21" i="20"/>
  <c r="I27" i="20"/>
  <c r="J19" i="20"/>
  <c r="H8" i="20"/>
  <c r="H9" i="20" s="1"/>
  <c r="I7" i="20"/>
  <c r="I9" i="20" s="1"/>
  <c r="J5" i="20"/>
  <c r="H29" i="21"/>
  <c r="J28" i="21"/>
  <c r="H10" i="20" l="1"/>
  <c r="H11" i="20" s="1"/>
  <c r="H13" i="20" s="1"/>
  <c r="H16" i="20" s="1"/>
  <c r="I10" i="20"/>
  <c r="I11" i="20" s="1"/>
  <c r="I13" i="20" s="1"/>
  <c r="I16" i="20" s="1"/>
  <c r="K19" i="20"/>
  <c r="J21" i="20"/>
  <c r="J27" i="20"/>
  <c r="G13" i="20"/>
  <c r="H3" i="21"/>
  <c r="H60" i="21"/>
  <c r="K5" i="20"/>
  <c r="J6" i="20"/>
  <c r="J7" i="20" s="1"/>
  <c r="J9" i="20" s="1"/>
  <c r="H26" i="20" l="1"/>
  <c r="H28" i="20" s="1"/>
  <c r="H23" i="20"/>
  <c r="H24" i="20" s="1"/>
  <c r="H29" i="20" s="1"/>
  <c r="Q33" i="20"/>
  <c r="U33" i="20" s="1"/>
  <c r="J10" i="20"/>
  <c r="J11" i="20"/>
  <c r="J13" i="20" s="1"/>
  <c r="J16" i="20" s="1"/>
  <c r="I23" i="20"/>
  <c r="I24" i="20" s="1"/>
  <c r="I29" i="20" s="1"/>
  <c r="I26" i="20"/>
  <c r="I28" i="20" s="1"/>
  <c r="Q34" i="20"/>
  <c r="U34" i="20" s="1"/>
  <c r="G16" i="20"/>
  <c r="E50" i="20"/>
  <c r="K21" i="20"/>
  <c r="K27" i="20"/>
  <c r="L5" i="20"/>
  <c r="K6" i="20"/>
  <c r="K7" i="20" s="1"/>
  <c r="K9" i="20" s="1"/>
  <c r="I60" i="21"/>
  <c r="H4" i="21"/>
  <c r="P12" i="20" s="1"/>
  <c r="G60" i="21"/>
  <c r="H63" i="21"/>
  <c r="H5" i="21" s="1"/>
  <c r="K10" i="20" l="1"/>
  <c r="K11" i="20" s="1"/>
  <c r="K13" i="20" s="1"/>
  <c r="K16" i="20" s="1"/>
  <c r="J26" i="20"/>
  <c r="J28" i="20" s="1"/>
  <c r="J23" i="20"/>
  <c r="J24" i="20" s="1"/>
  <c r="J29" i="20" s="1"/>
  <c r="Q35" i="20"/>
  <c r="U35" i="20" s="1"/>
  <c r="Q43" i="20"/>
  <c r="U43" i="20" s="1"/>
  <c r="I30" i="20"/>
  <c r="Q53" i="20" s="1"/>
  <c r="U53" i="20" s="1"/>
  <c r="L7" i="20"/>
  <c r="L9" i="20" s="1"/>
  <c r="L6" i="20"/>
  <c r="G23" i="20"/>
  <c r="G24" i="20" s="1"/>
  <c r="G29" i="20" s="1"/>
  <c r="E51" i="20"/>
  <c r="Q32" i="20"/>
  <c r="U32" i="20" s="1"/>
  <c r="S29" i="20" s="1"/>
  <c r="G26" i="20"/>
  <c r="G28" i="20" s="1"/>
  <c r="Q42" i="20"/>
  <c r="U42" i="20" s="1"/>
  <c r="H30" i="20"/>
  <c r="Q52" i="20" s="1"/>
  <c r="U52" i="20" s="1"/>
  <c r="Q36" i="20" l="1"/>
  <c r="K23" i="20"/>
  <c r="K24" i="20" s="1"/>
  <c r="K29" i="20" s="1"/>
  <c r="K26" i="20"/>
  <c r="K28" i="20" s="1"/>
  <c r="L10" i="20"/>
  <c r="L11" i="20" s="1"/>
  <c r="L13" i="20" s="1"/>
  <c r="L16" i="20" s="1"/>
  <c r="Q13" i="20" s="1"/>
  <c r="E52" i="20"/>
  <c r="G30" i="20"/>
  <c r="Q51" i="20" s="1"/>
  <c r="U51" i="20" s="1"/>
  <c r="S47" i="20" s="1"/>
  <c r="H7" i="21" s="1"/>
  <c r="Q41" i="20"/>
  <c r="U41" i="20" s="1"/>
  <c r="S38" i="20" s="1"/>
  <c r="Q44" i="20"/>
  <c r="U44" i="20" s="1"/>
  <c r="J30" i="20"/>
  <c r="Q54" i="20" s="1"/>
  <c r="U54" i="20" s="1"/>
  <c r="Q14" i="20" l="1"/>
  <c r="Q22" i="20" s="1"/>
  <c r="Q21" i="20"/>
  <c r="S57" i="20"/>
  <c r="H6" i="21"/>
  <c r="K30" i="20"/>
  <c r="Q55" i="20" s="1"/>
  <c r="Q45" i="20"/>
  <c r="Q16" i="20" l="1"/>
  <c r="Q18" i="20" s="1"/>
  <c r="Q26" i="20" s="1"/>
  <c r="Q24" i="20"/>
  <c r="Q27" i="20" l="1"/>
  <c r="S55" i="20" s="1"/>
  <c r="U55" i="20" s="1"/>
  <c r="S36" i="20"/>
  <c r="U36" i="20" s="1"/>
  <c r="S45" i="20"/>
  <c r="U45" i="20" s="1"/>
</calcChain>
</file>

<file path=xl/sharedStrings.xml><?xml version="1.0" encoding="utf-8"?>
<sst xmlns="http://schemas.openxmlformats.org/spreadsheetml/2006/main" count="351" uniqueCount="277">
  <si>
    <t xml:space="preserve"> Plus: Other Income</t>
  </si>
  <si>
    <t>Effective Rental Income</t>
  </si>
  <si>
    <t xml:space="preserve"> Less: loss to market lease</t>
  </si>
  <si>
    <t xml:space="preserve"> Less: Loss to lease</t>
  </si>
  <si>
    <t xml:space="preserve"> Less: vacancy</t>
  </si>
  <si>
    <t>ADS</t>
  </si>
  <si>
    <t>LTV</t>
  </si>
  <si>
    <t>Total Operating Expenses</t>
  </si>
  <si>
    <t>Net Operating Income</t>
  </si>
  <si>
    <t>Gross Operating Income</t>
  </si>
  <si>
    <t>Year</t>
  </si>
  <si>
    <t>Calculated for 1st year of next owners, ownership</t>
  </si>
  <si>
    <t>Sales Worksheet</t>
  </si>
  <si>
    <t>Increases</t>
  </si>
  <si>
    <t>Calculation of Adjusted Basis</t>
  </si>
  <si>
    <t>Basis at Acquisition</t>
  </si>
  <si>
    <t>+ Capital Additions</t>
  </si>
  <si>
    <t>-Cost Recovery (Depreciation) Taken</t>
  </si>
  <si>
    <t>=Adjusted Basis at Sale</t>
  </si>
  <si>
    <t>Calculation of Capital Gain</t>
  </si>
  <si>
    <t>Disposition CAP Rate</t>
  </si>
  <si>
    <t>Sale Price</t>
  </si>
  <si>
    <t>-Costs of Sale</t>
  </si>
  <si>
    <t xml:space="preserve">-Adjusted Basis at Sale </t>
  </si>
  <si>
    <t>=Gain or (Loss)</t>
  </si>
  <si>
    <t>-Straight Line Cost Recovery (limited to gain)</t>
  </si>
  <si>
    <t>Mortgage Balance</t>
  </si>
  <si>
    <t>=Capital Gain from Appreciation</t>
  </si>
  <si>
    <t>-</t>
  </si>
  <si>
    <t>Principal Reduction</t>
  </si>
  <si>
    <t>Calculation of Sales Proceeds after tax</t>
  </si>
  <si>
    <t>=</t>
  </si>
  <si>
    <t>Mortgage interest</t>
  </si>
  <si>
    <t xml:space="preserve">Sale Price </t>
  </si>
  <si>
    <t>cost recovery (annual)</t>
  </si>
  <si>
    <t>yrs @</t>
  </si>
  <si>
    <t>-Cost of Sale</t>
  </si>
  <si>
    <t>Taxable Income</t>
  </si>
  <si>
    <t>-Mortgage Balance(s)</t>
  </si>
  <si>
    <t xml:space="preserve">Tax on income at ordinary income rate of </t>
  </si>
  <si>
    <t>=Sale Proceeds Before Tax</t>
  </si>
  <si>
    <t>-Tax: Straight Line Recapture at</t>
  </si>
  <si>
    <t>NOI</t>
  </si>
  <si>
    <t>-Tax on Capital Gains at</t>
  </si>
  <si>
    <t>Annual Debt Service</t>
  </si>
  <si>
    <t>=SALE PROCEEDS AFTER TAX:</t>
  </si>
  <si>
    <t>Cash Flow Before Tax</t>
  </si>
  <si>
    <t>Less Ordinary Income Tax</t>
  </si>
  <si>
    <t>Cash Flow After Tax</t>
  </si>
  <si>
    <t>IRR Before tax =</t>
  </si>
  <si>
    <t>true t-bars</t>
  </si>
  <si>
    <t>n</t>
  </si>
  <si>
    <t>$</t>
  </si>
  <si>
    <t>+</t>
  </si>
  <si>
    <t>IRR After tax =</t>
  </si>
  <si>
    <t>Investor's Effective Tax Rate =</t>
  </si>
  <si>
    <t>Inputs</t>
  </si>
  <si>
    <t>Purchase Price</t>
  </si>
  <si>
    <t>Amortz</t>
  </si>
  <si>
    <t>years</t>
  </si>
  <si>
    <t>rate</t>
  </si>
  <si>
    <t>Payment</t>
  </si>
  <si>
    <t>IRR</t>
  </si>
  <si>
    <t>No Financing, no tax</t>
  </si>
  <si>
    <t>With financing, no tax</t>
  </si>
  <si>
    <t>With financing, with tax</t>
  </si>
  <si>
    <t>Going in CAP Rate</t>
  </si>
  <si>
    <t>Going in Cash on Cash</t>
  </si>
  <si>
    <t>Interest Rate</t>
  </si>
  <si>
    <t>excludes mid month</t>
  </si>
  <si>
    <t>MIP (Measures of Investment Performance)</t>
  </si>
  <si>
    <t>GRM =</t>
  </si>
  <si>
    <t>Purchase Price / GOI</t>
  </si>
  <si>
    <t xml:space="preserve"> 1st year NOI / Purchase Price</t>
  </si>
  <si>
    <t>1st year CFBT / Down Payment</t>
  </si>
  <si>
    <t>Rent Roll</t>
  </si>
  <si>
    <t>#</t>
  </si>
  <si>
    <t>Type</t>
  </si>
  <si>
    <t>Style</t>
  </si>
  <si>
    <t>Current Avg. Rent</t>
  </si>
  <si>
    <t>A</t>
  </si>
  <si>
    <t>B</t>
  </si>
  <si>
    <t>C</t>
  </si>
  <si>
    <t>D</t>
  </si>
  <si>
    <t>sf</t>
  </si>
  <si>
    <t>E</t>
  </si>
  <si>
    <t>F</t>
  </si>
  <si>
    <t>Expenses (Annual)</t>
  </si>
  <si>
    <t>Real Estate Taxes</t>
  </si>
  <si>
    <t>Personal Property Taxes</t>
  </si>
  <si>
    <t xml:space="preserve">Property Insurance </t>
  </si>
  <si>
    <t>Repairs and Maintenance</t>
  </si>
  <si>
    <t>Accounting and Legal</t>
  </si>
  <si>
    <t>Income (Annual)</t>
  </si>
  <si>
    <t>Effective Rental Income =</t>
  </si>
  <si>
    <t>Total Current Rental Income =</t>
  </si>
  <si>
    <t>Total Street Rent Total =</t>
  </si>
  <si>
    <t>Total Annual Market Rent =</t>
  </si>
  <si>
    <t>Less loss to Vacancy</t>
  </si>
  <si>
    <t>Plus Other Income =</t>
  </si>
  <si>
    <t>Net Operating Income =</t>
  </si>
  <si>
    <t xml:space="preserve">Source </t>
  </si>
  <si>
    <t>%</t>
  </si>
  <si>
    <t>$ unit</t>
  </si>
  <si>
    <t>Utils - Gas</t>
  </si>
  <si>
    <t>Utils - Electric</t>
  </si>
  <si>
    <t>Utils - Telephone</t>
  </si>
  <si>
    <t>Utils - Landlord Standby</t>
  </si>
  <si>
    <t>Utils - Cable</t>
  </si>
  <si>
    <t>Utils - Water, Sewer, &amp; Garbage</t>
  </si>
  <si>
    <t>Reserve for replacement/Cap-X</t>
  </si>
  <si>
    <t>% difference</t>
  </si>
  <si>
    <t>Gross Operating Income =</t>
  </si>
  <si>
    <t>By:</t>
  </si>
  <si>
    <t>Date:</t>
  </si>
  <si>
    <t>Price:</t>
  </si>
  <si>
    <t>Less loss to market lease (A-B)</t>
  </si>
  <si>
    <t>Less loss to lease (B-C)</t>
  </si>
  <si>
    <t>(F-20)</t>
  </si>
  <si>
    <t>Approx. Size</t>
  </si>
  <si>
    <t>After Tax IRR=</t>
  </si>
  <si>
    <t>Before Tax IRR=</t>
  </si>
  <si>
    <t>Less Annual Debt Service</t>
  </si>
  <si>
    <t>Loan</t>
  </si>
  <si>
    <t>Term</t>
  </si>
  <si>
    <t>Rate</t>
  </si>
  <si>
    <t>Cash Flow Before Taxes =</t>
  </si>
  <si>
    <t>yrs</t>
  </si>
  <si>
    <t>Utils - Internet</t>
  </si>
  <si>
    <t>Advertising/Licenses/ Commissions</t>
  </si>
  <si>
    <t>Miscellaneous</t>
  </si>
  <si>
    <t>Contract Svcs- Landscaping</t>
  </si>
  <si>
    <t>Contract Svcs- Pest Control</t>
  </si>
  <si>
    <t>Contract Svcs- Unit Turnover</t>
  </si>
  <si>
    <t>Contract Svcs- Carpet Cleaning</t>
  </si>
  <si>
    <t>Contract Svcs-Security Patrol</t>
  </si>
  <si>
    <t>Contract Svcs-Other</t>
  </si>
  <si>
    <t>Property Management - offsite</t>
  </si>
  <si>
    <t>Property Management - onsite staff</t>
  </si>
  <si>
    <t>Property Management - workcomp/tax</t>
  </si>
  <si>
    <t>Property Management - Exp/Benefits</t>
  </si>
  <si>
    <t>Admin/Supplies</t>
  </si>
  <si>
    <t>Pmt (ADS)</t>
  </si>
  <si>
    <t>Cap Rate =</t>
  </si>
  <si>
    <t>Cash on Cash =</t>
  </si>
  <si>
    <t>Walk</t>
  </si>
  <si>
    <t>Transit</t>
  </si>
  <si>
    <t>Bike</t>
  </si>
  <si>
    <t>A.</t>
  </si>
  <si>
    <t>B.</t>
  </si>
  <si>
    <t>C.</t>
  </si>
  <si>
    <t>D.</t>
  </si>
  <si>
    <t>E.</t>
  </si>
  <si>
    <t>F.</t>
  </si>
  <si>
    <t>Amount</t>
  </si>
  <si>
    <t>Cash flow worksheet</t>
  </si>
  <si>
    <t>Initial Loan Balance</t>
  </si>
  <si>
    <t>© 2011-2017 - Todd Clarke CCIM - Cantera Consultants &amp; Advisor Inc.</t>
  </si>
  <si>
    <t xml:space="preserve">For: </t>
  </si>
  <si>
    <t>Notes</t>
  </si>
  <si>
    <t>Loan Info  =</t>
  </si>
  <si>
    <t>Financing quote by:</t>
  </si>
  <si>
    <t>Measure of Investment Performance</t>
  </si>
  <si>
    <t>Late Fees</t>
  </si>
  <si>
    <t>Financial Summary</t>
  </si>
  <si>
    <t xml:space="preserve">Same as Going in </t>
  </si>
  <si>
    <t>Check or           Fill In</t>
  </si>
  <si>
    <t>Financial Model</t>
  </si>
  <si>
    <t>Fill out Financial Model tab</t>
  </si>
  <si>
    <t>OR</t>
  </si>
  <si>
    <t>Address:</t>
  </si>
  <si>
    <t>City:</t>
  </si>
  <si>
    <t># of units</t>
  </si>
  <si>
    <t>Contact Phone:</t>
  </si>
  <si>
    <t>Contact Email:</t>
  </si>
  <si>
    <t>Zip Code:</t>
  </si>
  <si>
    <t>Approx year of construction:</t>
  </si>
  <si>
    <t>Targe Rents kick in</t>
  </si>
  <si>
    <t>Applicant Info</t>
  </si>
  <si>
    <t>Contact Name:</t>
  </si>
  <si>
    <t>Application Form</t>
  </si>
  <si>
    <t>Sources &amp; Uses</t>
  </si>
  <si>
    <t>Sources</t>
  </si>
  <si>
    <t>Uses</t>
  </si>
  <si>
    <t>Total =</t>
  </si>
  <si>
    <t>Your equity :</t>
  </si>
  <si>
    <t>Amount requested form Ventana</t>
  </si>
  <si>
    <t>Pay off existing financing :</t>
  </si>
  <si>
    <t>Renovations :</t>
  </si>
  <si>
    <t>Soft costs for new financing :</t>
  </si>
  <si>
    <t>Sources - Uses - should equal zero=</t>
  </si>
  <si>
    <t>Acquisition Price (or est. value):</t>
  </si>
  <si>
    <t>$/unit</t>
  </si>
  <si>
    <t xml:space="preserve">Acquistion </t>
  </si>
  <si>
    <t>Target                    Rent</t>
  </si>
  <si>
    <t>Total    SF</t>
  </si>
  <si>
    <t>Total asssessed value per county assesor</t>
  </si>
  <si>
    <t>Total annual property tax bill</t>
  </si>
  <si>
    <t>Estimated value today</t>
  </si>
  <si>
    <t>Estimated completed value - 5 years</t>
  </si>
  <si>
    <t>Change in value as % =</t>
  </si>
  <si>
    <t>Points</t>
  </si>
  <si>
    <t>Project Description</t>
  </si>
  <si>
    <t>EVALUATION CRITERIA</t>
  </si>
  <si>
    <t>Disclosure: This is a multi-step process to expand the pool of affordable housing in NM.  Final commitment is subject to review by a credit committee, board approval and possible additional conditions.</t>
  </si>
  <si>
    <t>Describe your experience developing/managing similar projects.</t>
  </si>
  <si>
    <t>Capacity</t>
  </si>
  <si>
    <r>
      <t xml:space="preserve">Affordability                       </t>
    </r>
    <r>
      <rPr>
        <b/>
        <i/>
        <sz val="10"/>
        <color indexed="8"/>
        <rFont val="Garamond"/>
        <family val="1"/>
      </rPr>
      <t>Max. Points 25</t>
    </r>
  </si>
  <si>
    <r>
      <t xml:space="preserve">Feasibility                      </t>
    </r>
    <r>
      <rPr>
        <b/>
        <i/>
        <sz val="10"/>
        <color indexed="8"/>
        <rFont val="Garamond"/>
        <family val="1"/>
      </rPr>
      <t>Max. Points 35</t>
    </r>
  </si>
  <si>
    <t>Ventana Fund Thresholds Construction Loan</t>
  </si>
  <si>
    <t>GENERAL INFORMATION</t>
  </si>
  <si>
    <t>Albuquerque MSA</t>
  </si>
  <si>
    <t>Santa Fe MSA</t>
  </si>
  <si>
    <t>DeBaca County (Fort Sumner)</t>
  </si>
  <si>
    <t>Grant County (Silver City)</t>
  </si>
  <si>
    <t>Lincoln County (Ruidoso)</t>
  </si>
  <si>
    <t>Roosevelt County (Portales)</t>
  </si>
  <si>
    <t>All Other NM Counties</t>
  </si>
  <si>
    <t>AMI</t>
  </si>
  <si>
    <t>60% AMI Rent Limits</t>
  </si>
  <si>
    <t>80% AMI Rent Limits</t>
  </si>
  <si>
    <t>Studio</t>
  </si>
  <si>
    <t>1BR</t>
  </si>
  <si>
    <t>2BR</t>
  </si>
  <si>
    <t>3BR</t>
  </si>
  <si>
    <t>4BR</t>
  </si>
  <si>
    <t>Farmington MSA</t>
  </si>
  <si>
    <t>Las Cruces MSA</t>
  </si>
  <si>
    <t>Eddy County (Carlsbad)</t>
  </si>
  <si>
    <t>Los Alamos County (Los Alamos)</t>
  </si>
  <si>
    <t>Union County (Clayton)</t>
  </si>
  <si>
    <t>National, Non‐Metro Limits</t>
  </si>
  <si>
    <r>
      <t xml:space="preserve">At 60% Area Median Income or below </t>
    </r>
    <r>
      <rPr>
        <i/>
        <sz val="10"/>
        <rFont val="Garamond"/>
        <family val="1"/>
      </rPr>
      <t>(see Rents tab)</t>
    </r>
  </si>
  <si>
    <t>Year: 2022</t>
  </si>
  <si>
    <t>© 2011-2022 - Todd Clarke CCIM - Cantera Consultants &amp; Advisor Inc.</t>
  </si>
  <si>
    <r>
      <t xml:space="preserve">At 80% Area Median Income or below </t>
    </r>
    <r>
      <rPr>
        <i/>
        <sz val="11"/>
        <rFont val="Garamond"/>
        <family val="1"/>
      </rPr>
      <t>(see Rents tab)</t>
    </r>
  </si>
  <si>
    <t>% of Renovation Dollars that will be Spent on Energy Savings</t>
  </si>
  <si>
    <t>Between 20% and 40%</t>
  </si>
  <si>
    <t>Less than 20%</t>
  </si>
  <si>
    <t>Greater than 40%</t>
  </si>
  <si>
    <r>
      <t xml:space="preserve">Sustaintability     
</t>
    </r>
    <r>
      <rPr>
        <b/>
        <i/>
        <sz val="10"/>
        <color indexed="8"/>
        <rFont val="Garamond"/>
        <family val="1"/>
      </rPr>
      <t>Max. Points 25</t>
    </r>
  </si>
  <si>
    <t>Describe proposed energy saving improvements here:</t>
  </si>
  <si>
    <t>Borrower is a woman, minority, or veteran or woman, minority, or veteran-owned business.</t>
  </si>
  <si>
    <t>Proposed project is outside of the metropolitan statistical areas of Albuquerque, Las Cruces and Santa Fe</t>
  </si>
  <si>
    <r>
      <t xml:space="preserve">Borrower and Project  
Diversity   
</t>
    </r>
    <r>
      <rPr>
        <b/>
        <i/>
        <sz val="10"/>
        <color indexed="8"/>
        <rFont val="Garamond"/>
        <family val="1"/>
      </rPr>
      <t>Max. Points 10</t>
    </r>
  </si>
  <si>
    <t>For the purposes of this scoring criteria the following definition applies:</t>
  </si>
  <si>
    <r>
      <t>“</t>
    </r>
    <r>
      <rPr>
        <b/>
        <sz val="11"/>
        <rFont val="Garamond"/>
        <family val="1"/>
      </rPr>
      <t>Women, Minority and Veteran Borrowers and Women, Minority-and Veteran Owned Borrowers</t>
    </r>
    <r>
      <rPr>
        <sz val="11"/>
        <rFont val="Garamond"/>
        <family val="1"/>
      </rPr>
      <t>” means firms at least 51 percent unconditionally-owned by one or more members of a minority group, or by one or more women or veterans. In the case of publiclyowned companies, at least 51 percent of each class of voting stock must be unconditionally-owned by one or more members of a minority group or by one or more women or veterans. In the case of a partnership, at least 51 percent of the partnership interest must be unconditionally-owned by one or more members of a minority group or by one or more women or veterans. Additionally, for the foregoing cases, the management and daily business operations must be controlled by one or more such individuals.
“</t>
    </r>
    <r>
      <rPr>
        <b/>
        <sz val="11"/>
        <rFont val="Garamond"/>
        <family val="1"/>
      </rPr>
      <t>Minority</t>
    </r>
    <r>
      <rPr>
        <sz val="11"/>
        <rFont val="Garamond"/>
        <family val="1"/>
      </rPr>
      <t>” means any African American, Native American (i.e., American Indian, Eskimo, Aleut and Native Hawaiian), Hispanic American, Asian-Pacific American, or SubcontinentAsian American.
“</t>
    </r>
    <r>
      <rPr>
        <b/>
        <sz val="11"/>
        <rFont val="Garamond"/>
        <family val="1"/>
      </rPr>
      <t>Metropolitan Statistical Area</t>
    </r>
    <r>
      <rPr>
        <sz val="11"/>
        <rFont val="Garamond"/>
        <family val="1"/>
      </rPr>
      <t>” is a region that consists of a city and surrounding communities that are linked by social and economic factors, as established by the U.S. Office of Management and Budget.</t>
    </r>
  </si>
  <si>
    <r>
      <t xml:space="preserve">Project in Eligible Census Tract                                  
</t>
    </r>
    <r>
      <rPr>
        <b/>
        <i/>
        <sz val="10"/>
        <color indexed="8"/>
        <rFont val="Garamond"/>
        <family val="1"/>
      </rPr>
      <t>Maximum Points 10</t>
    </r>
  </si>
  <si>
    <t>CDFI ERP Eligible Geography</t>
  </si>
  <si>
    <t>Sever COVID Impact/Low Community Resilience</t>
  </si>
  <si>
    <t>Low- or Moderate-Income - Less than or equal to 120% AMI</t>
  </si>
  <si>
    <t>CDFI Investment Area</t>
  </si>
  <si>
    <t>Majority Minority - Greater than or equal to 50% minority</t>
  </si>
  <si>
    <t>Persistent Poverty County</t>
  </si>
  <si>
    <r>
      <t xml:space="preserve">Is the Project located in a census tract that meets any of the below criteria?  </t>
    </r>
    <r>
      <rPr>
        <i/>
        <sz val="11"/>
        <color theme="1"/>
        <rFont val="Garamond"/>
        <family val="1"/>
      </rPr>
      <t>Check all that apply.</t>
    </r>
    <r>
      <rPr>
        <b/>
        <sz val="11"/>
        <color theme="1"/>
        <rFont val="Garamond"/>
        <family val="1"/>
      </rPr>
      <t xml:space="preserve">
</t>
    </r>
    <r>
      <rPr>
        <sz val="11"/>
        <color theme="1"/>
        <rFont val="Garamond"/>
        <family val="1"/>
      </rPr>
      <t>Contact Ventana Fund for assistance in determining eligibility in under this criterion.</t>
    </r>
  </si>
  <si>
    <r>
      <rPr>
        <b/>
        <u/>
        <sz val="11"/>
        <color theme="1"/>
        <rFont val="Garamond"/>
        <family val="1"/>
      </rPr>
      <t>Projected</t>
    </r>
    <r>
      <rPr>
        <b/>
        <sz val="11"/>
        <color theme="1"/>
        <rFont val="Garamond"/>
        <family val="1"/>
      </rPr>
      <t xml:space="preserve"> project rents are priced at: </t>
    </r>
    <r>
      <rPr>
        <i/>
        <sz val="11"/>
        <color indexed="8"/>
        <rFont val="Garamond"/>
        <family val="1"/>
      </rPr>
      <t>(check one)</t>
    </r>
    <r>
      <rPr>
        <b/>
        <sz val="11"/>
        <color theme="1"/>
        <rFont val="Garamond"/>
        <family val="1"/>
      </rPr>
      <t xml:space="preserve">
</t>
    </r>
    <r>
      <rPr>
        <sz val="11"/>
        <color theme="1"/>
        <rFont val="Garamond"/>
        <family val="1"/>
      </rPr>
      <t>*Rents may not exceed your election of 60% or 80% AMI rents during the life of the loan</t>
    </r>
    <r>
      <rPr>
        <b/>
        <sz val="11"/>
        <color theme="1"/>
        <rFont val="Garamond"/>
        <family val="1"/>
      </rPr>
      <t xml:space="preserve">.  
</t>
    </r>
    <r>
      <rPr>
        <sz val="11"/>
        <color theme="1"/>
        <rFont val="Garamond"/>
        <family val="1"/>
      </rPr>
      <t>** Income limits generally must match the selected rent limits.</t>
    </r>
    <r>
      <rPr>
        <b/>
        <sz val="11"/>
        <color theme="1"/>
        <rFont val="Garamond"/>
        <family val="1"/>
      </rPr>
      <t xml:space="preserve"> </t>
    </r>
    <r>
      <rPr>
        <sz val="11"/>
        <color theme="1"/>
        <rFont val="Garamond"/>
        <family val="1"/>
      </rPr>
      <t xml:space="preserve">Income limits up to 120% AMI may be allowed to address workforce housing and other needs for housing for moderate-income households. </t>
    </r>
    <r>
      <rPr>
        <i/>
        <sz val="11"/>
        <color theme="1"/>
        <rFont val="Garamond"/>
        <family val="1"/>
      </rPr>
      <t>(see Rents tab)</t>
    </r>
  </si>
  <si>
    <t>*  Income limits up to 120% AMI may be allowed to address workforce housing and other housing needs for moderate-income households.</t>
  </si>
  <si>
    <t>80% of AMI</t>
  </si>
  <si>
    <t>Date: ____________________________________________</t>
  </si>
  <si>
    <t>Borrower</t>
  </si>
  <si>
    <t>Mailing Address:</t>
  </si>
  <si>
    <t>Second Borrower</t>
  </si>
  <si>
    <t>Property Management Info</t>
  </si>
  <si>
    <t>Company Name:</t>
  </si>
  <si>
    <t>Application Updated 12-2022</t>
  </si>
  <si>
    <t>NM entity name that is applying:</t>
  </si>
  <si>
    <t>Review our NM Business Requirements here.</t>
  </si>
  <si>
    <t>Please provide a detailed description of the proposed project. Please include your plan for existing tenants, including how renovations will be completed in occupied units.</t>
  </si>
  <si>
    <t>Ventana Fund Rent Limits and Income Limits Effective        May 2023 - May 2024
If you have any questions about how these limits were calculated, or how they apply to your community, please contact:
Ventana Fund 
(505) 377-2053
aromero@ventanafund.org</t>
  </si>
  <si>
    <t>2023 Ventana Fund Rent Limits</t>
  </si>
  <si>
    <r>
      <t xml:space="preserve">Lea County (Hobbs) </t>
    </r>
    <r>
      <rPr>
        <sz val="9"/>
        <rFont val="Calibri"/>
        <family val="2"/>
      </rPr>
      <t xml:space="preserve">For Properties Placed in Service </t>
    </r>
    <r>
      <rPr>
        <i/>
        <sz val="9"/>
        <rFont val="Calibri"/>
        <family val="2"/>
      </rPr>
      <t>on or after 5/15/23</t>
    </r>
  </si>
  <si>
    <r>
      <t xml:space="preserve">Lea County (Hobbs) </t>
    </r>
    <r>
      <rPr>
        <sz val="9"/>
        <rFont val="Calibri"/>
        <family val="2"/>
      </rPr>
      <t xml:space="preserve">For Properties Placed in Service </t>
    </r>
    <r>
      <rPr>
        <i/>
        <sz val="9"/>
        <rFont val="Calibri"/>
        <family val="2"/>
      </rPr>
      <t>on or before 5/14/23</t>
    </r>
  </si>
  <si>
    <t>* Maximum gross rents are to be reduced by tenant paid utilities.</t>
  </si>
  <si>
    <t>2023 Ventana Fund Income Limits</t>
  </si>
  <si>
    <t>60% AMI Income Limits by Household Size</t>
  </si>
  <si>
    <t>80% AMI Income Limits by Household Size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</si>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</sst>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&quot;$&quot;#,##0"/>
    <numFmt numFmtId="167" formatCode="0.0"/>
    <numFmt numFmtId="168" formatCode="_(* #,##0_);_(* \(#,##0\);_(* &quot;-&quot;??_);_(@_)"/>
    <numFmt numFmtId="169" formatCode="&quot;$&quot;#,##0.00"/>
  </numFmts>
  <fonts count="45" x14ac:knownFonts="1">
    <font>
      <sz val="12"/>
      <name val="garamond"/>
    </font>
    <font>
      <sz val="12"/>
      <name val="Garamond"/>
      <family val="1"/>
    </font>
    <font>
      <b/>
      <sz val="12"/>
      <name val="Garamond"/>
      <family val="1"/>
    </font>
    <font>
      <sz val="10"/>
      <name val="Arial"/>
      <family val="2"/>
    </font>
    <font>
      <sz val="9"/>
      <name val="Tahoma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i/>
      <sz val="11"/>
      <name val="Tahoma"/>
      <family val="2"/>
    </font>
    <font>
      <sz val="12"/>
      <name val="Garamond"/>
      <family val="1"/>
    </font>
    <font>
      <sz val="10"/>
      <name val="Garamond"/>
      <family val="1"/>
    </font>
    <font>
      <sz val="12"/>
      <name val="Garamond"/>
      <family val="1"/>
    </font>
    <font>
      <b/>
      <sz val="12"/>
      <color indexed="53"/>
      <name val="Garamond"/>
      <family val="1"/>
    </font>
    <font>
      <i/>
      <sz val="11"/>
      <color indexed="8"/>
      <name val="Garamond"/>
      <family val="1"/>
    </font>
    <font>
      <b/>
      <i/>
      <sz val="10"/>
      <color indexed="8"/>
      <name val="Garamond"/>
      <family val="1"/>
    </font>
    <font>
      <i/>
      <sz val="11"/>
      <name val="Garamond"/>
      <family val="1"/>
    </font>
    <font>
      <sz val="11"/>
      <name val="Garamond"/>
      <family val="1"/>
    </font>
    <font>
      <i/>
      <sz val="10"/>
      <name val="Garamond"/>
      <family val="1"/>
    </font>
    <font>
      <u/>
      <sz val="12"/>
      <color theme="10"/>
      <name val="Garamond"/>
      <family val="1"/>
    </font>
    <font>
      <b/>
      <sz val="12"/>
      <color theme="0" tint="-0.249977111117893"/>
      <name val="Garamond"/>
      <family val="1"/>
    </font>
    <font>
      <sz val="12"/>
      <color theme="0" tint="-0.249977111117893"/>
      <name val="Garamond"/>
      <family val="1"/>
    </font>
    <font>
      <b/>
      <sz val="12"/>
      <color theme="0"/>
      <name val="Garamond"/>
      <family val="1"/>
    </font>
    <font>
      <b/>
      <sz val="12"/>
      <color rgb="FF0070C0"/>
      <name val="Garamond"/>
      <family val="1"/>
    </font>
    <font>
      <b/>
      <sz val="12"/>
      <color theme="9" tint="-0.249977111117893"/>
      <name val="Garamond"/>
      <family val="1"/>
    </font>
    <font>
      <sz val="12"/>
      <color theme="9" tint="-0.249977111117893"/>
      <name val="Garamond"/>
      <family val="1"/>
    </font>
    <font>
      <b/>
      <sz val="12"/>
      <color theme="3" tint="0.39997558519241921"/>
      <name val="Garamond"/>
      <family val="1"/>
    </font>
    <font>
      <sz val="12"/>
      <color theme="3" tint="0.39997558519241921"/>
      <name val="Garamond"/>
      <family val="1"/>
    </font>
    <font>
      <b/>
      <sz val="12"/>
      <color rgb="FF00B050"/>
      <name val="Garamond"/>
      <family val="1"/>
    </font>
    <font>
      <sz val="12"/>
      <color rgb="FF00B050"/>
      <name val="Garamond"/>
      <family val="1"/>
    </font>
    <font>
      <sz val="12"/>
      <color theme="0"/>
      <name val="Garamond"/>
      <family val="1"/>
    </font>
    <font>
      <b/>
      <sz val="16"/>
      <color theme="1"/>
      <name val="Garamond"/>
      <family val="1"/>
    </font>
    <font>
      <b/>
      <sz val="11"/>
      <color theme="1"/>
      <name val="Garamond"/>
      <family val="1"/>
    </font>
    <font>
      <i/>
      <sz val="11"/>
      <color theme="1"/>
      <name val="Garamond"/>
      <family val="1"/>
    </font>
    <font>
      <sz val="11"/>
      <color theme="1"/>
      <name val="Garamond"/>
      <family val="1"/>
    </font>
    <font>
      <sz val="14"/>
      <color theme="1"/>
      <name val="Garamond"/>
      <family val="1"/>
    </font>
    <font>
      <b/>
      <sz val="12"/>
      <color theme="1"/>
      <name val="Garamond"/>
      <family val="1"/>
    </font>
    <font>
      <sz val="9.5"/>
      <name val="Calibri"/>
      <family val="2"/>
    </font>
    <font>
      <b/>
      <u/>
      <sz val="11"/>
      <color theme="1"/>
      <name val="Garamond"/>
      <family val="1"/>
    </font>
    <font>
      <b/>
      <sz val="11"/>
      <name val="Garamond"/>
      <family val="1"/>
    </font>
    <font>
      <b/>
      <i/>
      <sz val="12"/>
      <name val="Garamond"/>
      <family val="1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Times New Roman"/>
      <family val="1"/>
    </font>
    <font>
      <sz val="9"/>
      <name val="Calibri"/>
      <family val="2"/>
    </font>
    <font>
      <i/>
      <sz val="9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BFED2"/>
        <bgColor indexed="64"/>
      </patternFill>
    </fill>
    <fill>
      <patternFill patternType="solid">
        <fgColor rgb="FFECECEC"/>
      </patternFill>
    </fill>
  </fills>
  <borders count="53">
    <border>
      <left/>
      <right/>
      <top/>
      <bottom/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ECECEC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ECECEC"/>
      </left>
      <right style="thin">
        <color rgb="FF000000"/>
      </right>
      <top/>
      <bottom/>
      <diagonal/>
    </border>
    <border>
      <left style="thin">
        <color rgb="FFECECEC"/>
      </left>
      <right style="thin">
        <color rgb="FF000000"/>
      </right>
      <top/>
      <bottom style="thin">
        <color rgb="FFECECEC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9" fontId="4" fillId="0" borderId="0">
      <alignment horizontal="right"/>
    </xf>
    <xf numFmtId="0" fontId="3" fillId="0" borderId="1" applyNumberFormat="0" applyFont="0" applyFill="0" applyAlignment="0" applyProtection="0"/>
    <xf numFmtId="0" fontId="5" fillId="0" borderId="0" applyNumberFormat="0" applyFill="0" applyBorder="0" applyAlignment="0" applyProtection="0">
      <alignment horizontal="left"/>
    </xf>
    <xf numFmtId="0" fontId="6" fillId="0" borderId="0" applyNumberFormat="0" applyFill="0" applyBorder="0" applyAlignment="0" applyProtection="0">
      <alignment horizontal="left"/>
    </xf>
    <xf numFmtId="0" fontId="17" fillId="0" borderId="0" applyNumberFormat="0" applyFill="0" applyBorder="0" applyAlignment="0" applyProtection="0"/>
    <xf numFmtId="0" fontId="1" fillId="0" borderId="0"/>
    <xf numFmtId="0" fontId="3" fillId="0" borderId="1" applyNumberFormat="0" applyFont="0" applyFill="0" applyAlignment="0" applyProtection="0"/>
    <xf numFmtId="0" fontId="3" fillId="0" borderId="2" applyNumberFormat="0" applyFont="0" applyFill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9" fontId="4" fillId="0" borderId="0"/>
    <xf numFmtId="0" fontId="7" fillId="0" borderId="0" applyNumberFormat="0" applyFill="0" applyBorder="0" applyAlignment="0" applyProtection="0">
      <alignment horizontal="left"/>
    </xf>
    <xf numFmtId="0" fontId="3" fillId="0" borderId="3" applyNumberFormat="0" applyFont="0" applyFill="0" applyAlignment="0" applyProtection="0"/>
  </cellStyleXfs>
  <cellXfs count="36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9" fontId="0" fillId="0" borderId="0" xfId="0" applyNumberFormat="1"/>
    <xf numFmtId="0" fontId="1" fillId="0" borderId="0" xfId="0" applyFont="1"/>
    <xf numFmtId="0" fontId="1" fillId="0" borderId="0" xfId="0" quotePrefix="1" applyFont="1"/>
    <xf numFmtId="166" fontId="0" fillId="0" borderId="0" xfId="0" applyNumberFormat="1"/>
    <xf numFmtId="166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1" applyNumberFormat="1" applyFont="1" applyAlignment="1">
      <alignment horizontal="center"/>
    </xf>
    <xf numFmtId="0" fontId="18" fillId="0" borderId="0" xfId="1" applyNumberFormat="1" applyFont="1" applyAlignment="1">
      <alignment horizontal="center"/>
    </xf>
    <xf numFmtId="166" fontId="19" fillId="0" borderId="0" xfId="0" applyNumberFormat="1" applyFont="1"/>
    <xf numFmtId="166" fontId="0" fillId="0" borderId="4" xfId="0" applyNumberFormat="1" applyBorder="1"/>
    <xf numFmtId="166" fontId="19" fillId="0" borderId="4" xfId="0" applyNumberFormat="1" applyFont="1" applyBorder="1"/>
    <xf numFmtId="165" fontId="0" fillId="0" borderId="0" xfId="0" applyNumberFormat="1"/>
    <xf numFmtId="166" fontId="1" fillId="0" borderId="0" xfId="0" quotePrefix="1" applyNumberFormat="1" applyFont="1"/>
    <xf numFmtId="166" fontId="0" fillId="0" borderId="4" xfId="0" quotePrefix="1" applyNumberFormat="1" applyBorder="1"/>
    <xf numFmtId="0" fontId="2" fillId="0" borderId="0" xfId="0" quotePrefix="1" applyFont="1"/>
    <xf numFmtId="0" fontId="1" fillId="0" borderId="5" xfId="0" applyFont="1" applyBorder="1"/>
    <xf numFmtId="164" fontId="0" fillId="0" borderId="6" xfId="2" quotePrefix="1" applyNumberFormat="1" applyFont="1" applyBorder="1"/>
    <xf numFmtId="166" fontId="0" fillId="0" borderId="6" xfId="0" applyNumberFormat="1" applyBorder="1"/>
    <xf numFmtId="6" fontId="0" fillId="0" borderId="0" xfId="0" quotePrefix="1" applyNumberFormat="1"/>
    <xf numFmtId="164" fontId="0" fillId="0" borderId="0" xfId="2" applyNumberFormat="1" applyFont="1"/>
    <xf numFmtId="9" fontId="2" fillId="0" borderId="0" xfId="11" applyFont="1"/>
    <xf numFmtId="10" fontId="0" fillId="0" borderId="0" xfId="11" applyNumberFormat="1" applyFont="1"/>
    <xf numFmtId="0" fontId="2" fillId="0" borderId="7" xfId="0" applyFont="1" applyBorder="1"/>
    <xf numFmtId="166" fontId="2" fillId="0" borderId="8" xfId="0" applyNumberFormat="1" applyFont="1" applyBorder="1"/>
    <xf numFmtId="0" fontId="2" fillId="0" borderId="8" xfId="0" applyFont="1" applyBorder="1"/>
    <xf numFmtId="165" fontId="2" fillId="0" borderId="9" xfId="0" applyNumberFormat="1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166" fontId="0" fillId="0" borderId="5" xfId="0" applyNumberFormat="1" applyBorder="1"/>
    <xf numFmtId="0" fontId="1" fillId="0" borderId="4" xfId="0" quotePrefix="1" applyFont="1" applyBorder="1"/>
    <xf numFmtId="166" fontId="0" fillId="0" borderId="13" xfId="0" applyNumberFormat="1" applyBorder="1"/>
    <xf numFmtId="166" fontId="0" fillId="2" borderId="0" xfId="0" applyNumberFormat="1" applyFill="1"/>
    <xf numFmtId="0" fontId="1" fillId="0" borderId="0" xfId="0" applyFont="1" applyAlignment="1">
      <alignment horizontal="right"/>
    </xf>
    <xf numFmtId="43" fontId="0" fillId="0" borderId="0" xfId="1" applyFont="1"/>
    <xf numFmtId="168" fontId="0" fillId="0" borderId="0" xfId="1" applyNumberFormat="1" applyFont="1"/>
    <xf numFmtId="0" fontId="1" fillId="0" borderId="0" xfId="0" applyFont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8" fontId="0" fillId="0" borderId="4" xfId="1" applyNumberFormat="1" applyFont="1" applyBorder="1"/>
    <xf numFmtId="0" fontId="1" fillId="0" borderId="0" xfId="0" quotePrefix="1" applyFont="1" applyAlignment="1">
      <alignment horizontal="center"/>
    </xf>
    <xf numFmtId="14" fontId="0" fillId="0" borderId="0" xfId="0" applyNumberFormat="1"/>
    <xf numFmtId="168" fontId="0" fillId="0" borderId="0" xfId="1" applyNumberFormat="1" applyFont="1" applyBorder="1"/>
    <xf numFmtId="166" fontId="0" fillId="0" borderId="0" xfId="0" applyNumberFormat="1" applyAlignment="1">
      <alignment horizontal="center"/>
    </xf>
    <xf numFmtId="166" fontId="2" fillId="0" borderId="0" xfId="0" applyNumberFormat="1" applyFont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8" xfId="0" applyBorder="1"/>
    <xf numFmtId="165" fontId="0" fillId="0" borderId="4" xfId="11" applyNumberFormat="1" applyFont="1" applyBorder="1"/>
    <xf numFmtId="10" fontId="0" fillId="0" borderId="0" xfId="11" applyNumberFormat="1" applyFont="1" applyBorder="1"/>
    <xf numFmtId="166" fontId="2" fillId="0" borderId="0" xfId="2" applyNumberFormat="1" applyFont="1"/>
    <xf numFmtId="0" fontId="2" fillId="0" borderId="0" xfId="0" applyFont="1" applyAlignment="1">
      <alignment horizontal="right"/>
    </xf>
    <xf numFmtId="168" fontId="1" fillId="0" borderId="0" xfId="1" applyNumberFormat="1" applyFont="1" applyBorder="1"/>
    <xf numFmtId="0" fontId="9" fillId="0" borderId="0" xfId="0" applyFont="1"/>
    <xf numFmtId="165" fontId="0" fillId="0" borderId="0" xfId="11" applyNumberFormat="1" applyFont="1" applyBorder="1"/>
    <xf numFmtId="0" fontId="0" fillId="0" borderId="5" xfId="0" applyBorder="1"/>
    <xf numFmtId="0" fontId="0" fillId="0" borderId="13" xfId="0" applyBorder="1"/>
    <xf numFmtId="0" fontId="20" fillId="3" borderId="14" xfId="0" applyFont="1" applyFill="1" applyBorder="1"/>
    <xf numFmtId="0" fontId="20" fillId="3" borderId="15" xfId="0" applyFont="1" applyFill="1" applyBorder="1"/>
    <xf numFmtId="0" fontId="21" fillId="0" borderId="0" xfId="0" applyFont="1"/>
    <xf numFmtId="0" fontId="22" fillId="0" borderId="0" xfId="0" applyFont="1"/>
    <xf numFmtId="165" fontId="1" fillId="2" borderId="0" xfId="11" applyNumberFormat="1" applyFont="1" applyFill="1"/>
    <xf numFmtId="166" fontId="1" fillId="2" borderId="0" xfId="0" applyNumberFormat="1" applyFont="1" applyFill="1"/>
    <xf numFmtId="166" fontId="0" fillId="2" borderId="4" xfId="0" applyNumberFormat="1" applyFill="1" applyBorder="1"/>
    <xf numFmtId="166" fontId="1" fillId="2" borderId="4" xfId="0" applyNumberFormat="1" applyFont="1" applyFill="1" applyBorder="1"/>
    <xf numFmtId="164" fontId="8" fillId="2" borderId="0" xfId="2" applyNumberFormat="1" applyFont="1" applyFill="1"/>
    <xf numFmtId="165" fontId="8" fillId="2" borderId="0" xfId="11" applyNumberFormat="1" applyFont="1" applyFill="1"/>
    <xf numFmtId="0" fontId="0" fillId="2" borderId="0" xfId="0" applyFill="1"/>
    <xf numFmtId="0" fontId="0" fillId="0" borderId="0" xfId="0" quotePrefix="1" applyAlignment="1">
      <alignment horizontal="center"/>
    </xf>
    <xf numFmtId="0" fontId="20" fillId="3" borderId="7" xfId="0" applyFont="1" applyFill="1" applyBorder="1"/>
    <xf numFmtId="0" fontId="20" fillId="3" borderId="8" xfId="0" applyFont="1" applyFill="1" applyBorder="1"/>
    <xf numFmtId="0" fontId="20" fillId="3" borderId="9" xfId="0" applyFont="1" applyFill="1" applyBorder="1"/>
    <xf numFmtId="0" fontId="1" fillId="0" borderId="6" xfId="0" applyFont="1" applyBorder="1"/>
    <xf numFmtId="0" fontId="20" fillId="3" borderId="16" xfId="0" applyFont="1" applyFill="1" applyBorder="1"/>
    <xf numFmtId="6" fontId="1" fillId="0" borderId="4" xfId="8" quotePrefix="1" applyNumberFormat="1" applyBorder="1" applyAlignment="1">
      <alignment horizontal="right"/>
    </xf>
    <xf numFmtId="166" fontId="0" fillId="0" borderId="4" xfId="0" applyNumberFormat="1" applyBorder="1" applyAlignment="1">
      <alignment horizontal="center"/>
    </xf>
    <xf numFmtId="168" fontId="0" fillId="0" borderId="8" xfId="1" applyNumberFormat="1" applyFont="1" applyBorder="1"/>
    <xf numFmtId="0" fontId="21" fillId="0" borderId="8" xfId="0" applyFont="1" applyBorder="1"/>
    <xf numFmtId="0" fontId="22" fillId="0" borderId="8" xfId="0" applyFont="1" applyBorder="1"/>
    <xf numFmtId="0" fontId="22" fillId="0" borderId="6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/>
    <xf numFmtId="166" fontId="22" fillId="0" borderId="0" xfId="0" applyNumberFormat="1" applyFont="1"/>
    <xf numFmtId="0" fontId="24" fillId="0" borderId="6" xfId="0" applyFont="1" applyBorder="1" applyAlignment="1">
      <alignment horizontal="center"/>
    </xf>
    <xf numFmtId="0" fontId="24" fillId="0" borderId="0" xfId="0" applyFont="1" applyAlignment="1">
      <alignment horizontal="left"/>
    </xf>
    <xf numFmtId="0" fontId="25" fillId="0" borderId="0" xfId="0" applyFont="1"/>
    <xf numFmtId="166" fontId="24" fillId="0" borderId="0" xfId="0" applyNumberFormat="1" applyFont="1"/>
    <xf numFmtId="0" fontId="26" fillId="0" borderId="6" xfId="0" applyFont="1" applyBorder="1" applyAlignment="1">
      <alignment horizontal="center"/>
    </xf>
    <xf numFmtId="0" fontId="26" fillId="0" borderId="0" xfId="0" applyFont="1" applyAlignment="1">
      <alignment horizontal="left"/>
    </xf>
    <xf numFmtId="0" fontId="27" fillId="0" borderId="0" xfId="0" applyFont="1"/>
    <xf numFmtId="166" fontId="26" fillId="0" borderId="0" xfId="0" applyNumberFormat="1" applyFon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7" xfId="0" applyFont="1" applyBorder="1" applyAlignment="1">
      <alignment horizontal="center"/>
    </xf>
    <xf numFmtId="165" fontId="0" fillId="0" borderId="8" xfId="11" applyNumberFormat="1" applyFont="1" applyBorder="1"/>
    <xf numFmtId="166" fontId="1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9" fontId="0" fillId="0" borderId="0" xfId="1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166" fontId="2" fillId="0" borderId="4" xfId="0" applyNumberFormat="1" applyFont="1" applyBorder="1"/>
    <xf numFmtId="0" fontId="2" fillId="0" borderId="8" xfId="0" applyFont="1" applyBorder="1" applyAlignment="1">
      <alignment wrapText="1"/>
    </xf>
    <xf numFmtId="166" fontId="21" fillId="0" borderId="0" xfId="0" applyNumberFormat="1" applyFont="1"/>
    <xf numFmtId="0" fontId="1" fillId="0" borderId="4" xfId="0" applyFont="1" applyBorder="1" applyAlignment="1">
      <alignment horizontal="center"/>
    </xf>
    <xf numFmtId="168" fontId="1" fillId="0" borderId="4" xfId="1" applyNumberFormat="1" applyFont="1" applyBorder="1"/>
    <xf numFmtId="169" fontId="26" fillId="0" borderId="4" xfId="0" applyNumberFormat="1" applyFont="1" applyBorder="1"/>
    <xf numFmtId="169" fontId="21" fillId="0" borderId="4" xfId="0" applyNumberFormat="1" applyFont="1" applyBorder="1"/>
    <xf numFmtId="169" fontId="22" fillId="0" borderId="4" xfId="0" applyNumberFormat="1" applyFont="1" applyBorder="1"/>
    <xf numFmtId="168" fontId="0" fillId="0" borderId="4" xfId="0" applyNumberFormat="1" applyBorder="1"/>
    <xf numFmtId="0" fontId="28" fillId="3" borderId="8" xfId="0" applyFont="1" applyFill="1" applyBorder="1"/>
    <xf numFmtId="0" fontId="28" fillId="3" borderId="9" xfId="0" applyFont="1" applyFill="1" applyBorder="1"/>
    <xf numFmtId="0" fontId="20" fillId="3" borderId="5" xfId="0" applyFont="1" applyFill="1" applyBorder="1"/>
    <xf numFmtId="0" fontId="28" fillId="3" borderId="4" xfId="0" applyFont="1" applyFill="1" applyBorder="1"/>
    <xf numFmtId="0" fontId="28" fillId="3" borderId="13" xfId="0" applyFont="1" applyFill="1" applyBorder="1"/>
    <xf numFmtId="0" fontId="1" fillId="0" borderId="4" xfId="0" applyFont="1" applyBorder="1"/>
    <xf numFmtId="0" fontId="2" fillId="0" borderId="4" xfId="0" applyFont="1" applyBorder="1" applyAlignment="1">
      <alignment horizontal="left"/>
    </xf>
    <xf numFmtId="165" fontId="2" fillId="0" borderId="4" xfId="11" applyNumberFormat="1" applyFont="1" applyBorder="1"/>
    <xf numFmtId="0" fontId="1" fillId="0" borderId="7" xfId="0" applyFont="1" applyBorder="1"/>
    <xf numFmtId="0" fontId="1" fillId="0" borderId="8" xfId="0" applyFont="1" applyBorder="1"/>
    <xf numFmtId="2" fontId="2" fillId="0" borderId="9" xfId="1" applyNumberFormat="1" applyFont="1" applyBorder="1" applyAlignment="1">
      <alignment horizontal="left"/>
    </xf>
    <xf numFmtId="165" fontId="2" fillId="0" borderId="11" xfId="11" applyNumberFormat="1" applyFont="1" applyBorder="1" applyAlignment="1">
      <alignment horizontal="left"/>
    </xf>
    <xf numFmtId="165" fontId="2" fillId="0" borderId="13" xfId="11" applyNumberFormat="1" applyFont="1" applyBorder="1" applyAlignment="1">
      <alignment horizontal="left"/>
    </xf>
    <xf numFmtId="1" fontId="0" fillId="0" borderId="13" xfId="0" applyNumberFormat="1" applyBorder="1" applyAlignment="1">
      <alignment horizontal="center"/>
    </xf>
    <xf numFmtId="166" fontId="2" fillId="0" borderId="9" xfId="2" applyNumberFormat="1" applyFont="1" applyBorder="1"/>
    <xf numFmtId="0" fontId="0" fillId="4" borderId="6" xfId="0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quotePrefix="1" applyFont="1" applyFill="1"/>
    <xf numFmtId="0" fontId="1" fillId="4" borderId="0" xfId="0" applyFont="1" applyFill="1"/>
    <xf numFmtId="168" fontId="10" fillId="4" borderId="0" xfId="1" applyNumberFormat="1" applyFont="1" applyFill="1" applyBorder="1"/>
    <xf numFmtId="168" fontId="1" fillId="4" borderId="0" xfId="1" applyNumberFormat="1" applyFont="1" applyFill="1" applyBorder="1"/>
    <xf numFmtId="166" fontId="26" fillId="4" borderId="0" xfId="0" applyNumberFormat="1" applyFont="1" applyFill="1"/>
    <xf numFmtId="166" fontId="21" fillId="4" borderId="0" xfId="0" applyNumberFormat="1" applyFont="1" applyFill="1"/>
    <xf numFmtId="166" fontId="22" fillId="4" borderId="0" xfId="0" applyNumberFormat="1" applyFont="1" applyFill="1"/>
    <xf numFmtId="165" fontId="10" fillId="4" borderId="0" xfId="11" applyNumberFormat="1" applyFont="1" applyFill="1" applyBorder="1"/>
    <xf numFmtId="166" fontId="0" fillId="4" borderId="0" xfId="0" applyNumberFormat="1" applyFill="1"/>
    <xf numFmtId="0" fontId="0" fillId="4" borderId="0" xfId="0" applyFill="1"/>
    <xf numFmtId="166" fontId="0" fillId="4" borderId="4" xfId="0" applyNumberFormat="1" applyFill="1" applyBorder="1"/>
    <xf numFmtId="167" fontId="1" fillId="2" borderId="0" xfId="0" applyNumberFormat="1" applyFont="1" applyFill="1"/>
    <xf numFmtId="9" fontId="1" fillId="2" borderId="0" xfId="11" applyFont="1" applyFill="1"/>
    <xf numFmtId="165" fontId="1" fillId="2" borderId="0" xfId="11" applyNumberFormat="1" applyFont="1" applyFill="1" applyAlignment="1">
      <alignment horizontal="center"/>
    </xf>
    <xf numFmtId="0" fontId="2" fillId="0" borderId="17" xfId="0" applyFont="1" applyBorder="1"/>
    <xf numFmtId="0" fontId="1" fillId="0" borderId="18" xfId="0" applyFont="1" applyBorder="1"/>
    <xf numFmtId="0" fontId="1" fillId="0" borderId="17" xfId="0" applyFont="1" applyBorder="1"/>
    <xf numFmtId="0" fontId="1" fillId="0" borderId="14" xfId="0" applyFont="1" applyBorder="1"/>
    <xf numFmtId="0" fontId="1" fillId="0" borderId="11" xfId="0" applyFont="1" applyBorder="1"/>
    <xf numFmtId="0" fontId="1" fillId="0" borderId="13" xfId="0" applyFont="1" applyBorder="1"/>
    <xf numFmtId="0" fontId="29" fillId="0" borderId="0" xfId="0" applyFont="1" applyAlignment="1">
      <alignment horizontal="center"/>
    </xf>
    <xf numFmtId="0" fontId="30" fillId="5" borderId="19" xfId="0" applyFont="1" applyFill="1" applyBorder="1" applyAlignment="1">
      <alignment horizontal="left" indent="1"/>
    </xf>
    <xf numFmtId="0" fontId="30" fillId="5" borderId="20" xfId="0" applyFont="1" applyFill="1" applyBorder="1" applyAlignment="1">
      <alignment horizontal="left" indent="1"/>
    </xf>
    <xf numFmtId="0" fontId="30" fillId="6" borderId="11" xfId="0" applyFont="1" applyFill="1" applyBorder="1" applyAlignment="1">
      <alignment horizontal="left" indent="1"/>
    </xf>
    <xf numFmtId="0" fontId="31" fillId="6" borderId="0" xfId="0" applyFont="1" applyFill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7" fillId="0" borderId="0" xfId="7"/>
    <xf numFmtId="0" fontId="30" fillId="5" borderId="11" xfId="0" applyFont="1" applyFill="1" applyBorder="1" applyAlignment="1">
      <alignment horizontal="left" indent="1"/>
    </xf>
    <xf numFmtId="0" fontId="32" fillId="5" borderId="6" xfId="0" applyFont="1" applyFill="1" applyBorder="1" applyAlignment="1">
      <alignment horizontal="left" indent="1"/>
    </xf>
    <xf numFmtId="0" fontId="31" fillId="5" borderId="6" xfId="0" applyFont="1" applyFill="1" applyBorder="1" applyAlignment="1">
      <alignment horizontal="left" indent="1"/>
    </xf>
    <xf numFmtId="166" fontId="0" fillId="5" borderId="4" xfId="0" applyNumberFormat="1" applyFill="1" applyBorder="1"/>
    <xf numFmtId="166" fontId="2" fillId="0" borderId="0" xfId="0" applyNumberFormat="1" applyFont="1"/>
    <xf numFmtId="0" fontId="2" fillId="2" borderId="0" xfId="0" applyFont="1" applyFill="1"/>
    <xf numFmtId="0" fontId="1" fillId="2" borderId="0" xfId="0" applyFont="1" applyFill="1"/>
    <xf numFmtId="14" fontId="0" fillId="2" borderId="0" xfId="0" applyNumberFormat="1" applyFill="1" applyAlignment="1">
      <alignment horizontal="left"/>
    </xf>
    <xf numFmtId="0" fontId="33" fillId="0" borderId="0" xfId="0" applyFont="1" applyAlignment="1">
      <alignment horizontal="center"/>
    </xf>
    <xf numFmtId="0" fontId="1" fillId="0" borderId="9" xfId="0" applyFont="1" applyBorder="1"/>
    <xf numFmtId="0" fontId="1" fillId="0" borderId="6" xfId="0" applyFont="1" applyBorder="1" applyAlignment="1">
      <alignment horizontal="right"/>
    </xf>
    <xf numFmtId="0" fontId="2" fillId="0" borderId="6" xfId="0" applyFont="1" applyBorder="1"/>
    <xf numFmtId="0" fontId="2" fillId="0" borderId="6" xfId="0" applyFont="1" applyBorder="1" applyAlignment="1">
      <alignment horizontal="right"/>
    </xf>
    <xf numFmtId="9" fontId="1" fillId="0" borderId="11" xfId="11" applyFont="1" applyBorder="1"/>
    <xf numFmtId="166" fontId="1" fillId="0" borderId="0" xfId="0" applyNumberFormat="1" applyFont="1" applyAlignment="1">
      <alignment horizontal="center"/>
    </xf>
    <xf numFmtId="9" fontId="1" fillId="0" borderId="11" xfId="11" applyFont="1" applyBorder="1" applyAlignment="1">
      <alignment horizontal="center"/>
    </xf>
    <xf numFmtId="9" fontId="1" fillId="0" borderId="13" xfId="1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11" xfId="0" quotePrefix="1" applyFont="1" applyBorder="1" applyAlignment="1">
      <alignment horizontal="center"/>
    </xf>
    <xf numFmtId="166" fontId="1" fillId="4" borderId="0" xfId="0" applyNumberFormat="1" applyFont="1" applyFill="1"/>
    <xf numFmtId="166" fontId="1" fillId="4" borderId="4" xfId="0" applyNumberFormat="1" applyFont="1" applyFill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2" fillId="0" borderId="8" xfId="0" applyFont="1" applyBorder="1" applyAlignment="1">
      <alignment horizontal="right" wrapText="1"/>
    </xf>
    <xf numFmtId="0" fontId="26" fillId="0" borderId="8" xfId="0" applyFont="1" applyBorder="1" applyAlignment="1">
      <alignment horizontal="right" wrapText="1"/>
    </xf>
    <xf numFmtId="0" fontId="21" fillId="0" borderId="8" xfId="0" applyFont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15" fillId="6" borderId="6" xfId="0" applyFont="1" applyFill="1" applyBorder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5" fillId="6" borderId="24" xfId="0" applyFont="1" applyFill="1" applyBorder="1" applyAlignment="1">
      <alignment horizontal="left" vertical="center"/>
    </xf>
    <xf numFmtId="0" fontId="15" fillId="6" borderId="3" xfId="0" applyFont="1" applyFill="1" applyBorder="1" applyAlignment="1">
      <alignment horizontal="left" vertical="center"/>
    </xf>
    <xf numFmtId="0" fontId="15" fillId="5" borderId="6" xfId="0" applyFont="1" applyFill="1" applyBorder="1" applyAlignment="1">
      <alignment horizontal="left" indent="2"/>
    </xf>
    <xf numFmtId="0" fontId="15" fillId="5" borderId="0" xfId="0" applyFont="1" applyFill="1" applyAlignment="1">
      <alignment horizontal="left" indent="2"/>
    </xf>
    <xf numFmtId="0" fontId="32" fillId="6" borderId="11" xfId="0" applyFont="1" applyFill="1" applyBorder="1" applyAlignment="1">
      <alignment horizontal="left" indent="1"/>
    </xf>
    <xf numFmtId="0" fontId="31" fillId="6" borderId="6" xfId="0" applyFont="1" applyFill="1" applyBorder="1" applyAlignment="1">
      <alignment horizontal="left"/>
    </xf>
    <xf numFmtId="1" fontId="0" fillId="2" borderId="11" xfId="0" applyNumberFormat="1" applyFill="1" applyBorder="1" applyAlignment="1">
      <alignment horizontal="center"/>
    </xf>
    <xf numFmtId="1" fontId="10" fillId="2" borderId="13" xfId="1" applyNumberFormat="1" applyFont="1" applyFill="1" applyBorder="1" applyAlignment="1">
      <alignment horizontal="center"/>
    </xf>
    <xf numFmtId="0" fontId="0" fillId="0" borderId="12" xfId="0" applyBorder="1" applyAlignment="1">
      <alignment horizontal="center" vertical="center" textRotation="90"/>
    </xf>
    <xf numFmtId="0" fontId="2" fillId="0" borderId="17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30" fillId="5" borderId="6" xfId="0" applyFont="1" applyFill="1" applyBorder="1" applyAlignment="1">
      <alignment horizontal="left" indent="1"/>
    </xf>
    <xf numFmtId="0" fontId="34" fillId="0" borderId="27" xfId="0" applyFont="1" applyBorder="1" applyAlignment="1">
      <alignment vertical="center"/>
    </xf>
    <xf numFmtId="0" fontId="34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34" fillId="0" borderId="30" xfId="0" applyFont="1" applyBorder="1" applyAlignment="1">
      <alignment vertical="center"/>
    </xf>
    <xf numFmtId="0" fontId="30" fillId="0" borderId="12" xfId="0" applyFont="1" applyBorder="1" applyAlignment="1">
      <alignment horizontal="center"/>
    </xf>
    <xf numFmtId="166" fontId="30" fillId="4" borderId="12" xfId="0" applyNumberFormat="1" applyFont="1" applyFill="1" applyBorder="1" applyAlignment="1">
      <alignment horizontal="center"/>
    </xf>
    <xf numFmtId="166" fontId="30" fillId="5" borderId="12" xfId="0" applyNumberFormat="1" applyFont="1" applyFill="1" applyBorder="1" applyAlignment="1">
      <alignment horizontal="center"/>
    </xf>
    <xf numFmtId="9" fontId="30" fillId="5" borderId="12" xfId="11" applyFont="1" applyFill="1" applyBorder="1" applyAlignment="1">
      <alignment horizontal="center"/>
    </xf>
    <xf numFmtId="0" fontId="30" fillId="0" borderId="31" xfId="0" applyFont="1" applyBorder="1" applyAlignment="1">
      <alignment vertical="center"/>
    </xf>
    <xf numFmtId="0" fontId="1" fillId="4" borderId="15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4" borderId="32" xfId="0" applyFont="1" applyFill="1" applyBorder="1" applyAlignment="1">
      <alignment horizontal="left" vertical="center"/>
    </xf>
    <xf numFmtId="0" fontId="30" fillId="0" borderId="31" xfId="0" applyFont="1" applyBorder="1"/>
    <xf numFmtId="0" fontId="1" fillId="4" borderId="15" xfId="0" applyFont="1" applyFill="1" applyBorder="1" applyAlignment="1">
      <alignment horizontal="left" indent="1"/>
    </xf>
    <xf numFmtId="1" fontId="1" fillId="4" borderId="10" xfId="0" applyNumberFormat="1" applyFont="1" applyFill="1" applyBorder="1" applyAlignment="1">
      <alignment horizontal="center"/>
    </xf>
    <xf numFmtId="1" fontId="1" fillId="4" borderId="15" xfId="0" applyNumberFormat="1" applyFont="1" applyFill="1" applyBorder="1" applyAlignment="1">
      <alignment horizontal="center"/>
    </xf>
    <xf numFmtId="0" fontId="1" fillId="0" borderId="12" xfId="0" applyFont="1" applyBorder="1"/>
    <xf numFmtId="0" fontId="1" fillId="0" borderId="33" xfId="0" applyFont="1" applyBorder="1"/>
    <xf numFmtId="0" fontId="1" fillId="0" borderId="31" xfId="0" applyFont="1" applyBorder="1"/>
    <xf numFmtId="0" fontId="1" fillId="4" borderId="15" xfId="0" applyFont="1" applyFill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4" borderId="16" xfId="0" applyFont="1" applyFill="1" applyBorder="1" applyAlignment="1">
      <alignment horizontal="left" indent="1"/>
    </xf>
    <xf numFmtId="0" fontId="31" fillId="6" borderId="7" xfId="0" applyFont="1" applyFill="1" applyBorder="1" applyAlignment="1">
      <alignment horizontal="left"/>
    </xf>
    <xf numFmtId="0" fontId="1" fillId="0" borderId="16" xfId="0" applyFont="1" applyBorder="1" applyAlignment="1">
      <alignment horizontal="left" indent="1"/>
    </xf>
    <xf numFmtId="0" fontId="31" fillId="6" borderId="8" xfId="0" applyFont="1" applyFill="1" applyBorder="1" applyAlignment="1">
      <alignment horizontal="left"/>
    </xf>
    <xf numFmtId="0" fontId="1" fillId="0" borderId="49" xfId="0" applyFont="1" applyBorder="1"/>
    <xf numFmtId="0" fontId="1" fillId="0" borderId="12" xfId="0" applyFont="1" applyBorder="1" applyAlignment="1">
      <alignment horizontal="left" indent="1"/>
    </xf>
    <xf numFmtId="0" fontId="11" fillId="0" borderId="8" xfId="0" quotePrefix="1" applyFont="1" applyBorder="1" applyAlignment="1">
      <alignment horizontal="right" wrapText="1"/>
    </xf>
    <xf numFmtId="14" fontId="1" fillId="0" borderId="0" xfId="0" applyNumberFormat="1" applyFont="1"/>
    <xf numFmtId="0" fontId="38" fillId="6" borderId="6" xfId="0" applyFont="1" applyFill="1" applyBorder="1"/>
    <xf numFmtId="0" fontId="1" fillId="6" borderId="0" xfId="0" applyFont="1" applyFill="1" applyAlignment="1">
      <alignment horizontal="left"/>
    </xf>
    <xf numFmtId="0" fontId="1" fillId="0" borderId="33" xfId="0" applyFont="1" applyBorder="1" applyAlignment="1">
      <alignment horizontal="left" indent="1"/>
    </xf>
    <xf numFmtId="0" fontId="32" fillId="6" borderId="19" xfId="0" applyFont="1" applyFill="1" applyBorder="1" applyAlignment="1">
      <alignment horizontal="left" vertical="center"/>
    </xf>
    <xf numFmtId="0" fontId="32" fillId="6" borderId="6" xfId="0" applyFont="1" applyFill="1" applyBorder="1" applyAlignment="1">
      <alignment horizontal="left" vertical="center"/>
    </xf>
    <xf numFmtId="0" fontId="30" fillId="6" borderId="11" xfId="0" applyFont="1" applyFill="1" applyBorder="1" applyAlignment="1">
      <alignment horizontal="left" vertical="center"/>
    </xf>
    <xf numFmtId="1" fontId="1" fillId="0" borderId="15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5" fillId="5" borderId="24" xfId="0" applyFont="1" applyFill="1" applyBorder="1" applyAlignment="1">
      <alignment horizontal="left" indent="2"/>
    </xf>
    <xf numFmtId="0" fontId="15" fillId="5" borderId="3" xfId="0" applyFont="1" applyFill="1" applyBorder="1" applyAlignment="1">
      <alignment horizontal="left" indent="2"/>
    </xf>
    <xf numFmtId="0" fontId="1" fillId="4" borderId="32" xfId="0" applyFont="1" applyFill="1" applyBorder="1"/>
    <xf numFmtId="0" fontId="1" fillId="0" borderId="0" xfId="0" applyFont="1" applyAlignment="1">
      <alignment horizontal="center" wrapText="1"/>
    </xf>
    <xf numFmtId="0" fontId="17" fillId="0" borderId="6" xfId="7" applyBorder="1" applyAlignment="1">
      <alignment wrapText="1"/>
    </xf>
    <xf numFmtId="0" fontId="40" fillId="8" borderId="46" xfId="0" applyFont="1" applyFill="1" applyBorder="1" applyAlignment="1">
      <alignment horizontal="right" vertical="top" wrapText="1"/>
    </xf>
    <xf numFmtId="0" fontId="40" fillId="8" borderId="46" xfId="0" applyFont="1" applyFill="1" applyBorder="1" applyAlignment="1">
      <alignment horizontal="left" vertical="top" wrapText="1" indent="1"/>
    </xf>
    <xf numFmtId="0" fontId="40" fillId="8" borderId="46" xfId="0" applyFont="1" applyFill="1" applyBorder="1" applyAlignment="1">
      <alignment horizontal="left" vertical="top" wrapText="1" indent="2"/>
    </xf>
    <xf numFmtId="0" fontId="40" fillId="0" borderId="46" xfId="0" applyFont="1" applyBorder="1" applyAlignment="1">
      <alignment horizontal="left" vertical="top" wrapText="1"/>
    </xf>
    <xf numFmtId="164" fontId="41" fillId="0" borderId="46" xfId="2" applyNumberFormat="1" applyFont="1" applyBorder="1" applyAlignment="1">
      <alignment vertical="top" shrinkToFit="1"/>
    </xf>
    <xf numFmtId="0" fontId="41" fillId="0" borderId="44" xfId="0" applyFont="1" applyBorder="1" applyAlignment="1">
      <alignment horizontal="center" wrapText="1"/>
    </xf>
    <xf numFmtId="0" fontId="40" fillId="8" borderId="46" xfId="0" applyFont="1" applyFill="1" applyBorder="1" applyAlignment="1">
      <alignment horizontal="left" vertical="top" wrapText="1"/>
    </xf>
    <xf numFmtId="164" fontId="41" fillId="8" borderId="46" xfId="2" applyNumberFormat="1" applyFont="1" applyFill="1" applyBorder="1" applyAlignment="1">
      <alignment vertical="top" shrinkToFit="1"/>
    </xf>
    <xf numFmtId="0" fontId="41" fillId="0" borderId="47" xfId="0" applyFont="1" applyBorder="1" applyAlignment="1">
      <alignment horizontal="center" wrapText="1"/>
    </xf>
    <xf numFmtId="164" fontId="41" fillId="8" borderId="46" xfId="2" applyNumberFormat="1" applyFont="1" applyFill="1" applyBorder="1" applyAlignment="1">
      <alignment vertical="center" shrinkToFit="1"/>
    </xf>
    <xf numFmtId="0" fontId="41" fillId="0" borderId="44" xfId="0" applyFont="1" applyBorder="1" applyAlignment="1">
      <alignment horizontal="center" vertical="center" wrapText="1"/>
    </xf>
    <xf numFmtId="164" fontId="41" fillId="0" borderId="0" xfId="2" applyNumberFormat="1" applyFont="1" applyFill="1" applyBorder="1" applyAlignment="1">
      <alignment vertical="top" shrinkToFit="1"/>
    </xf>
    <xf numFmtId="0" fontId="41" fillId="0" borderId="0" xfId="0" applyFont="1" applyAlignment="1">
      <alignment horizontal="center" wrapText="1"/>
    </xf>
    <xf numFmtId="0" fontId="41" fillId="0" borderId="0" xfId="0" applyFont="1" applyAlignment="1">
      <alignment horizontal="left" wrapText="1"/>
    </xf>
    <xf numFmtId="1" fontId="41" fillId="8" borderId="46" xfId="0" applyNumberFormat="1" applyFont="1" applyFill="1" applyBorder="1" applyAlignment="1">
      <alignment horizontal="center" vertical="top" shrinkToFit="1"/>
    </xf>
    <xf numFmtId="0" fontId="41" fillId="0" borderId="47" xfId="0" applyFont="1" applyBorder="1" applyAlignment="1">
      <alignment horizontal="left" wrapText="1"/>
    </xf>
    <xf numFmtId="0" fontId="41" fillId="0" borderId="44" xfId="0" applyFont="1" applyBorder="1" applyAlignment="1">
      <alignment horizontal="left" wrapText="1"/>
    </xf>
    <xf numFmtId="164" fontId="41" fillId="6" borderId="46" xfId="2" applyNumberFormat="1" applyFont="1" applyFill="1" applyBorder="1" applyAlignment="1">
      <alignment vertical="top" shrinkToFit="1"/>
    </xf>
    <xf numFmtId="0" fontId="42" fillId="0" borderId="0" xfId="0" applyFont="1" applyAlignment="1">
      <alignment horizontal="left" vertical="top"/>
    </xf>
    <xf numFmtId="0" fontId="1" fillId="0" borderId="0" xfId="0" applyFont="1"/>
    <xf numFmtId="0" fontId="1" fillId="0" borderId="11" xfId="0" applyFont="1" applyBorder="1"/>
    <xf numFmtId="0" fontId="2" fillId="0" borderId="16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1" fillId="0" borderId="8" xfId="0" applyFont="1" applyBorder="1"/>
    <xf numFmtId="0" fontId="1" fillId="0" borderId="9" xfId="0" applyFont="1" applyBorder="1"/>
    <xf numFmtId="0" fontId="0" fillId="0" borderId="12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38" fillId="0" borderId="7" xfId="0" applyFont="1" applyBorder="1" applyAlignment="1">
      <alignment horizontal="left" wrapText="1"/>
    </xf>
    <xf numFmtId="0" fontId="38" fillId="0" borderId="8" xfId="0" applyFont="1" applyBorder="1" applyAlignment="1">
      <alignment horizontal="left" wrapText="1"/>
    </xf>
    <xf numFmtId="0" fontId="38" fillId="0" borderId="9" xfId="0" applyFont="1" applyBorder="1" applyAlignment="1">
      <alignment horizontal="left" wrapText="1"/>
    </xf>
    <xf numFmtId="0" fontId="1" fillId="4" borderId="6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13" xfId="0" applyFont="1" applyFill="1" applyBorder="1" applyAlignment="1">
      <alignment horizontal="left" vertical="top"/>
    </xf>
    <xf numFmtId="0" fontId="38" fillId="0" borderId="7" xfId="0" applyFont="1" applyBorder="1" applyAlignment="1">
      <alignment horizontal="left"/>
    </xf>
    <xf numFmtId="0" fontId="38" fillId="0" borderId="8" xfId="0" applyFont="1" applyBorder="1" applyAlignment="1">
      <alignment horizontal="left"/>
    </xf>
    <xf numFmtId="0" fontId="38" fillId="0" borderId="9" xfId="0" applyFont="1" applyBorder="1" applyAlignment="1">
      <alignment horizontal="left"/>
    </xf>
    <xf numFmtId="0" fontId="1" fillId="4" borderId="6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1" fillId="4" borderId="11" xfId="0" applyFont="1" applyFill="1" applyBorder="1" applyAlignment="1">
      <alignment horizontal="left" vertical="top" wrapText="1"/>
    </xf>
    <xf numFmtId="0" fontId="1" fillId="4" borderId="24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25" xfId="0" applyFont="1" applyFill="1" applyBorder="1" applyAlignment="1">
      <alignment horizontal="left" vertical="top" wrapText="1"/>
    </xf>
    <xf numFmtId="0" fontId="34" fillId="5" borderId="34" xfId="0" applyFont="1" applyFill="1" applyBorder="1" applyAlignment="1">
      <alignment horizontal="center" vertical="center" textRotation="90" wrapText="1"/>
    </xf>
    <xf numFmtId="0" fontId="34" fillId="6" borderId="35" xfId="0" applyFont="1" applyFill="1" applyBorder="1" applyAlignment="1">
      <alignment horizontal="center" vertical="center" textRotation="90" wrapText="1"/>
    </xf>
    <xf numFmtId="0" fontId="34" fillId="6" borderId="34" xfId="0" applyFont="1" applyFill="1" applyBorder="1" applyAlignment="1">
      <alignment horizontal="center" vertical="center" textRotation="90" wrapText="1"/>
    </xf>
    <xf numFmtId="0" fontId="34" fillId="6" borderId="36" xfId="0" applyFont="1" applyFill="1" applyBorder="1" applyAlignment="1">
      <alignment horizontal="center" vertical="center" textRotation="90" wrapText="1"/>
    </xf>
    <xf numFmtId="0" fontId="30" fillId="6" borderId="19" xfId="0" applyFont="1" applyFill="1" applyBorder="1" applyAlignment="1">
      <alignment horizontal="left" vertical="center" wrapText="1"/>
    </xf>
    <xf numFmtId="0" fontId="30" fillId="6" borderId="48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4" fillId="5" borderId="35" xfId="0" applyFont="1" applyFill="1" applyBorder="1" applyAlignment="1">
      <alignment horizontal="center" vertical="center" textRotation="90" wrapText="1"/>
    </xf>
    <xf numFmtId="0" fontId="1" fillId="7" borderId="6" xfId="0" applyFont="1" applyFill="1" applyBorder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7" borderId="6" xfId="0" applyFill="1" applyBorder="1" applyAlignment="1">
      <alignment horizontal="left" vertical="top"/>
    </xf>
    <xf numFmtId="0" fontId="0" fillId="7" borderId="24" xfId="0" applyFill="1" applyBorder="1" applyAlignment="1">
      <alignment horizontal="left" vertical="top"/>
    </xf>
    <xf numFmtId="0" fontId="0" fillId="7" borderId="3" xfId="0" applyFill="1" applyBorder="1" applyAlignment="1">
      <alignment horizontal="left" vertical="top"/>
    </xf>
    <xf numFmtId="0" fontId="34" fillId="6" borderId="37" xfId="0" applyFont="1" applyFill="1" applyBorder="1" applyAlignment="1">
      <alignment horizontal="center" vertical="center" textRotation="90" wrapText="1"/>
    </xf>
    <xf numFmtId="0" fontId="34" fillId="6" borderId="38" xfId="0" applyFont="1" applyFill="1" applyBorder="1" applyAlignment="1">
      <alignment horizontal="center" vertical="center" textRotation="90" wrapText="1"/>
    </xf>
    <xf numFmtId="0" fontId="34" fillId="6" borderId="39" xfId="0" applyFont="1" applyFill="1" applyBorder="1" applyAlignment="1">
      <alignment horizontal="center" vertical="center" textRotation="90" wrapText="1"/>
    </xf>
    <xf numFmtId="0" fontId="15" fillId="7" borderId="6" xfId="0" applyFont="1" applyFill="1" applyBorder="1" applyAlignment="1">
      <alignment horizontal="left" vertical="top" wrapText="1"/>
    </xf>
    <xf numFmtId="0" fontId="15" fillId="7" borderId="11" xfId="0" applyFont="1" applyFill="1" applyBorder="1" applyAlignment="1">
      <alignment horizontal="left" vertical="top" wrapText="1"/>
    </xf>
    <xf numFmtId="0" fontId="15" fillId="7" borderId="24" xfId="0" applyFont="1" applyFill="1" applyBorder="1" applyAlignment="1">
      <alignment horizontal="left" vertical="top" wrapText="1"/>
    </xf>
    <xf numFmtId="0" fontId="15" fillId="7" borderId="25" xfId="0" applyFont="1" applyFill="1" applyBorder="1" applyAlignment="1">
      <alignment horizontal="left" vertical="top" wrapText="1"/>
    </xf>
    <xf numFmtId="0" fontId="34" fillId="5" borderId="37" xfId="0" applyFont="1" applyFill="1" applyBorder="1" applyAlignment="1">
      <alignment horizontal="center" vertical="center" textRotation="90" wrapText="1"/>
    </xf>
    <xf numFmtId="0" fontId="34" fillId="5" borderId="38" xfId="0" applyFont="1" applyFill="1" applyBorder="1" applyAlignment="1">
      <alignment horizontal="center" vertical="center" textRotation="90" wrapText="1"/>
    </xf>
    <xf numFmtId="0" fontId="34" fillId="5" borderId="39" xfId="0" applyFont="1" applyFill="1" applyBorder="1" applyAlignment="1">
      <alignment horizontal="center" vertical="center" textRotation="90" wrapText="1"/>
    </xf>
    <xf numFmtId="0" fontId="30" fillId="5" borderId="19" xfId="0" applyFont="1" applyFill="1" applyBorder="1" applyAlignment="1">
      <alignment horizontal="left" wrapText="1"/>
    </xf>
    <xf numFmtId="0" fontId="30" fillId="5" borderId="48" xfId="0" applyFont="1" applyFill="1" applyBorder="1" applyAlignment="1">
      <alignment horizontal="left"/>
    </xf>
    <xf numFmtId="0" fontId="1" fillId="0" borderId="7" xfId="0" applyFont="1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3" xfId="0" applyBorder="1" applyAlignment="1">
      <alignment vertical="top"/>
    </xf>
    <xf numFmtId="0" fontId="35" fillId="0" borderId="0" xfId="0" applyFont="1" applyAlignment="1">
      <alignment horizontal="left" vertical="top" wrapText="1"/>
    </xf>
    <xf numFmtId="0" fontId="39" fillId="8" borderId="41" xfId="0" applyFont="1" applyFill="1" applyBorder="1" applyAlignment="1">
      <alignment horizontal="left" vertical="top" wrapText="1" indent="7"/>
    </xf>
    <xf numFmtId="0" fontId="39" fillId="8" borderId="42" xfId="0" applyFont="1" applyFill="1" applyBorder="1" applyAlignment="1">
      <alignment horizontal="left" vertical="top" wrapText="1" indent="7"/>
    </xf>
    <xf numFmtId="0" fontId="39" fillId="8" borderId="43" xfId="0" applyFont="1" applyFill="1" applyBorder="1" applyAlignment="1">
      <alignment horizontal="left" vertical="top" wrapText="1" indent="7"/>
    </xf>
    <xf numFmtId="0" fontId="41" fillId="0" borderId="44" xfId="0" applyFont="1" applyBorder="1" applyAlignment="1">
      <alignment horizontal="left" vertical="center" wrapText="1"/>
    </xf>
    <xf numFmtId="0" fontId="41" fillId="0" borderId="51" xfId="0" applyFont="1" applyBorder="1" applyAlignment="1">
      <alignment horizontal="left" vertical="top" wrapText="1"/>
    </xf>
    <xf numFmtId="0" fontId="41" fillId="0" borderId="52" xfId="0" applyFont="1" applyBorder="1" applyAlignment="1">
      <alignment horizontal="left" vertical="top" wrapText="1"/>
    </xf>
    <xf numFmtId="0" fontId="39" fillId="8" borderId="40" xfId="0" applyFont="1" applyFill="1" applyBorder="1" applyAlignment="1">
      <alignment horizontal="left" vertical="center" wrapText="1" indent="2"/>
    </xf>
    <xf numFmtId="0" fontId="39" fillId="8" borderId="45" xfId="0" applyFont="1" applyFill="1" applyBorder="1" applyAlignment="1">
      <alignment horizontal="left" vertical="center" wrapText="1" indent="2"/>
    </xf>
    <xf numFmtId="0" fontId="40" fillId="8" borderId="40" xfId="0" applyFont="1" applyFill="1" applyBorder="1" applyAlignment="1">
      <alignment horizontal="left" vertical="center" wrapText="1" indent="2"/>
    </xf>
    <xf numFmtId="0" fontId="40" fillId="8" borderId="45" xfId="0" applyFont="1" applyFill="1" applyBorder="1" applyAlignment="1">
      <alignment horizontal="left" vertical="center" wrapText="1" indent="2"/>
    </xf>
    <xf numFmtId="0" fontId="39" fillId="8" borderId="41" xfId="0" applyFont="1" applyFill="1" applyBorder="1" applyAlignment="1">
      <alignment horizontal="left" vertical="top" wrapText="1" indent="8"/>
    </xf>
    <xf numFmtId="0" fontId="39" fillId="8" borderId="42" xfId="0" applyFont="1" applyFill="1" applyBorder="1" applyAlignment="1">
      <alignment horizontal="left" vertical="top" wrapText="1" indent="8"/>
    </xf>
    <xf numFmtId="0" fontId="39" fillId="8" borderId="43" xfId="0" applyFont="1" applyFill="1" applyBorder="1" applyAlignment="1">
      <alignment horizontal="left" vertical="top" wrapText="1" indent="8"/>
    </xf>
    <xf numFmtId="0" fontId="39" fillId="8" borderId="41" xfId="0" applyFont="1" applyFill="1" applyBorder="1" applyAlignment="1">
      <alignment horizontal="left" vertical="top" wrapText="1" indent="9"/>
    </xf>
    <xf numFmtId="0" fontId="39" fillId="8" borderId="42" xfId="0" applyFont="1" applyFill="1" applyBorder="1" applyAlignment="1">
      <alignment horizontal="left" vertical="top" wrapText="1" indent="9"/>
    </xf>
    <xf numFmtId="0" fontId="39" fillId="8" borderId="43" xfId="0" applyFont="1" applyFill="1" applyBorder="1" applyAlignment="1">
      <alignment horizontal="left" vertical="top" wrapText="1" indent="9"/>
    </xf>
    <xf numFmtId="0" fontId="3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0" fillId="0" borderId="50" xfId="0" applyFont="1" applyBorder="1" applyAlignment="1">
      <alignment horizontal="left" vertical="top" wrapText="1"/>
    </xf>
    <xf numFmtId="0" fontId="39" fillId="8" borderId="40" xfId="0" applyFont="1" applyFill="1" applyBorder="1" applyAlignment="1">
      <alignment horizontal="left" vertical="center" wrapText="1" indent="1"/>
    </xf>
    <xf numFmtId="0" fontId="39" fillId="8" borderId="45" xfId="0" applyFont="1" applyFill="1" applyBorder="1" applyAlignment="1">
      <alignment horizontal="left" vertical="center" wrapText="1" indent="1"/>
    </xf>
  </cellXfs>
  <cellStyles count="16">
    <cellStyle name="Comma" xfId="1" builtinId="3"/>
    <cellStyle name="Currency" xfId="2" builtinId="4"/>
    <cellStyle name="D" xfId="3" xr:uid="{00000000-0005-0000-0000-000002000000}"/>
    <cellStyle name="EvenBodyShade" xfId="4" xr:uid="{00000000-0005-0000-0000-000003000000}"/>
    <cellStyle name="Head1" xfId="5" xr:uid="{00000000-0005-0000-0000-000004000000}"/>
    <cellStyle name="Head2" xfId="6" xr:uid="{00000000-0005-0000-0000-000005000000}"/>
    <cellStyle name="Hyperlink" xfId="7" builtinId="8"/>
    <cellStyle name="Normal" xfId="0" builtinId="0"/>
    <cellStyle name="Normal 2" xfId="8" xr:uid="{00000000-0005-0000-0000-000008000000}"/>
    <cellStyle name="OddBodyShade" xfId="9" xr:uid="{00000000-0005-0000-0000-000009000000}"/>
    <cellStyle name="Overscore" xfId="10" xr:uid="{00000000-0005-0000-0000-00000A000000}"/>
    <cellStyle name="Percent" xfId="11" builtinId="5"/>
    <cellStyle name="Reg2" xfId="12" xr:uid="{00000000-0005-0000-0000-00000C000000}"/>
    <cellStyle name="T" xfId="13" xr:uid="{00000000-0005-0000-0000-00000D000000}"/>
    <cellStyle name="Total2" xfId="14" xr:uid="{00000000-0005-0000-0000-00000E000000}"/>
    <cellStyle name="Underscore" xfId="15" xr:uid="{00000000-0005-0000-0000-00000F000000}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68580</xdr:rowOff>
    </xdr:from>
    <xdr:to>
      <xdr:col>2</xdr:col>
      <xdr:colOff>286844</xdr:colOff>
      <xdr:row>3</xdr:row>
      <xdr:rowOff>292888</xdr:rowOff>
    </xdr:to>
    <xdr:pic>
      <xdr:nvPicPr>
        <xdr:cNvPr id="3110" name="Picture 2" descr="C:\Data\9-VolunteerEfforts\VentanaFund-CDFI\Logo\ventana_opt4.3.jpg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68580"/>
          <a:ext cx="90678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21418</xdr:colOff>
      <xdr:row>0</xdr:row>
      <xdr:rowOff>58551</xdr:rowOff>
    </xdr:from>
    <xdr:to>
      <xdr:col>2</xdr:col>
      <xdr:colOff>441469</xdr:colOff>
      <xdr:row>4</xdr:row>
      <xdr:rowOff>95578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338" y="58551"/>
          <a:ext cx="1105851" cy="110916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320040</xdr:colOff>
          <xdr:row>86</xdr:row>
          <xdr:rowOff>15240</xdr:rowOff>
        </xdr:from>
        <xdr:to>
          <xdr:col>5</xdr:col>
          <xdr:colOff>198120</xdr:colOff>
          <xdr:row>87</xdr:row>
          <xdr:rowOff>45720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320040</xdr:colOff>
          <xdr:row>87</xdr:row>
          <xdr:rowOff>83820</xdr:rowOff>
        </xdr:from>
        <xdr:to>
          <xdr:col>5</xdr:col>
          <xdr:colOff>396240</xdr:colOff>
          <xdr:row>89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320040</xdr:colOff>
          <xdr:row>76</xdr:row>
          <xdr:rowOff>167640</xdr:rowOff>
        </xdr:from>
        <xdr:to>
          <xdr:col>5</xdr:col>
          <xdr:colOff>198120</xdr:colOff>
          <xdr:row>78</xdr:row>
          <xdr:rowOff>15240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77</xdr:row>
          <xdr:rowOff>182880</xdr:rowOff>
        </xdr:from>
        <xdr:to>
          <xdr:col>5</xdr:col>
          <xdr:colOff>213360</xdr:colOff>
          <xdr:row>79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78</xdr:row>
          <xdr:rowOff>182880</xdr:rowOff>
        </xdr:from>
        <xdr:to>
          <xdr:col>5</xdr:col>
          <xdr:colOff>213360</xdr:colOff>
          <xdr:row>80</xdr:row>
          <xdr:rowOff>15240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72</xdr:row>
          <xdr:rowOff>891540</xdr:rowOff>
        </xdr:from>
        <xdr:to>
          <xdr:col>5</xdr:col>
          <xdr:colOff>213360</xdr:colOff>
          <xdr:row>74</xdr:row>
          <xdr:rowOff>22860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335280</xdr:colOff>
          <xdr:row>74</xdr:row>
          <xdr:rowOff>182880</xdr:rowOff>
        </xdr:from>
        <xdr:to>
          <xdr:col>5</xdr:col>
          <xdr:colOff>220980</xdr:colOff>
          <xdr:row>76</xdr:row>
          <xdr:rowOff>15240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95</xdr:row>
          <xdr:rowOff>289560</xdr:rowOff>
        </xdr:from>
        <xdr:to>
          <xdr:col>5</xdr:col>
          <xdr:colOff>388620</xdr:colOff>
          <xdr:row>98</xdr:row>
          <xdr:rowOff>15240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96</xdr:row>
          <xdr:rowOff>83820</xdr:rowOff>
        </xdr:from>
        <xdr:to>
          <xdr:col>5</xdr:col>
          <xdr:colOff>388620</xdr:colOff>
          <xdr:row>98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97</xdr:row>
          <xdr:rowOff>91440</xdr:rowOff>
        </xdr:from>
        <xdr:to>
          <xdr:col>5</xdr:col>
          <xdr:colOff>388620</xdr:colOff>
          <xdr:row>99</xdr:row>
          <xdr:rowOff>121920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98</xdr:row>
          <xdr:rowOff>99060</xdr:rowOff>
        </xdr:from>
        <xdr:to>
          <xdr:col>5</xdr:col>
          <xdr:colOff>388620</xdr:colOff>
          <xdr:row>100</xdr:row>
          <xdr:rowOff>129540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99</xdr:row>
          <xdr:rowOff>106680</xdr:rowOff>
        </xdr:from>
        <xdr:to>
          <xdr:col>5</xdr:col>
          <xdr:colOff>388620</xdr:colOff>
          <xdr:row>101</xdr:row>
          <xdr:rowOff>121920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320040</xdr:colOff>
          <xdr:row>100</xdr:row>
          <xdr:rowOff>106680</xdr:rowOff>
        </xdr:from>
        <xdr:to>
          <xdr:col>5</xdr:col>
          <xdr:colOff>396240</xdr:colOff>
          <xdr:row>102</xdr:row>
          <xdr:rowOff>121920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918210</xdr:colOff>
      <xdr:row>6</xdr:row>
      <xdr:rowOff>0</xdr:rowOff>
    </xdr:from>
    <xdr:to>
      <xdr:col>4</xdr:col>
      <xdr:colOff>5648</xdr:colOff>
      <xdr:row>7</xdr:row>
      <xdr:rowOff>22860</xdr:rowOff>
    </xdr:to>
    <xdr:sp macro="" textlink="">
      <xdr:nvSpPr>
        <xdr:cNvPr id="21" name="Right Triangl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 flipH="1" flipV="1">
          <a:off x="2179320" y="1028700"/>
          <a:ext cx="243840" cy="220980"/>
        </a:xfrm>
        <a:prstGeom prst="rtTriangl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0</xdr:col>
      <xdr:colOff>106681</xdr:colOff>
      <xdr:row>1</xdr:row>
      <xdr:rowOff>182881</xdr:rowOff>
    </xdr:from>
    <xdr:to>
      <xdr:col>1</xdr:col>
      <xdr:colOff>525781</xdr:colOff>
      <xdr:row>4</xdr:row>
      <xdr:rowOff>134991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1" y="220981"/>
          <a:ext cx="541020" cy="5464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0</xdr:rowOff>
    </xdr:from>
    <xdr:to>
      <xdr:col>0</xdr:col>
      <xdr:colOff>1409700</xdr:colOff>
      <xdr:row>7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4582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ata/10-NMApartmentArchives/Sequoi6101NW/2003Closing/Financials/0Analysis-VillaLadera3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exandrea%20Romero\Downloads\Copy%20of%20VF%20Thresholds%20Application%2012-2022%20(002).xlsx" TargetMode="External"/><Relationship Id="rId1" Type="http://schemas.openxmlformats.org/officeDocument/2006/relationships/externalLinkPath" Target="/Users/Alexandrea%20Romero/Downloads/Copy%20of%20VF%20Thresholds%20Application%2012-2022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Assump"/>
      <sheetName val="Rent Assump"/>
      <sheetName val="Sheet1"/>
      <sheetName val="Exec Sum"/>
      <sheetName val="Year1"/>
      <sheetName val="10 Yr"/>
      <sheetName val="Hist"/>
      <sheetName val="Property_Taxes"/>
      <sheetName val="Historical3 years"/>
      <sheetName val="Condo"/>
      <sheetName val="NonProfit"/>
      <sheetName val="RentRoll"/>
      <sheetName val="Demographics"/>
      <sheetName val="Occupancy"/>
      <sheetName val="Assump1"/>
      <sheetName val="Assump2"/>
      <sheetName val="Assump3"/>
      <sheetName val="Loan Amort"/>
      <sheetName val="IRR Matx"/>
      <sheetName val="Unlev. Matx"/>
      <sheetName val="Lever. Matx"/>
      <sheetName val="Module1"/>
      <sheetName val="Module3"/>
      <sheetName val="Module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lication"/>
      <sheetName val="Financial Model"/>
      <sheetName val="Rents &amp; Income Limits"/>
      <sheetName val="5year+sale"/>
    </sheetNames>
    <sheetDataSet>
      <sheetData sheetId="0"/>
      <sheetData sheetId="1">
        <row r="3">
          <cell r="J3">
            <v>0</v>
          </cell>
        </row>
      </sheetData>
      <sheetData sheetId="2"/>
      <sheetData sheetId="3">
        <row r="13">
          <cell r="Q13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1" Type="http://schemas.openxmlformats.org/officeDocument/2006/relationships/hyperlink" Target="https://www.ventanafund.org/wp-content/uploads/2023/03/New-Mexico-Business-Requirements-9-2022.pdf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04"/>
  <sheetViews>
    <sheetView showGridLines="0" tabSelected="1" zoomScale="87" zoomScaleNormal="87" workbookViewId="0">
      <selection activeCell="I48" sqref="I48"/>
    </sheetView>
  </sheetViews>
  <sheetFormatPr defaultColWidth="8.88671875" defaultRowHeight="15.6" x14ac:dyDescent="0.3"/>
  <cols>
    <col min="1" max="1" width="1.77734375" style="5" customWidth="1"/>
    <col min="2" max="2" width="10" style="5" customWidth="1"/>
    <col min="3" max="3" width="40.77734375" style="5" customWidth="1"/>
    <col min="4" max="4" width="55.77734375" style="5" customWidth="1"/>
    <col min="5" max="5" width="12.44140625" style="5" customWidth="1"/>
    <col min="6" max="6" width="9" style="5" customWidth="1"/>
    <col min="7" max="7" width="1.77734375" style="5" customWidth="1"/>
    <col min="8" max="16384" width="8.88671875" style="5"/>
  </cols>
  <sheetData>
    <row r="2" spans="2:11" ht="21" x14ac:dyDescent="0.4">
      <c r="D2" s="157" t="s">
        <v>209</v>
      </c>
    </row>
    <row r="3" spans="2:11" ht="18" x14ac:dyDescent="0.35">
      <c r="D3" s="173" t="s">
        <v>180</v>
      </c>
    </row>
    <row r="4" spans="2:11" ht="30" customHeight="1" x14ac:dyDescent="0.3">
      <c r="D4" s="97" t="s">
        <v>258</v>
      </c>
      <c r="E4" s="239"/>
    </row>
    <row r="6" spans="2:11" ht="29.25" customHeight="1" x14ac:dyDescent="0.3">
      <c r="B6" s="152"/>
      <c r="C6" s="205" t="s">
        <v>210</v>
      </c>
      <c r="D6" s="151"/>
      <c r="E6" s="153"/>
      <c r="F6" s="154"/>
    </row>
    <row r="7" spans="2:11" x14ac:dyDescent="0.3">
      <c r="B7" s="275" t="s">
        <v>178</v>
      </c>
      <c r="C7" s="128" t="s">
        <v>170</v>
      </c>
      <c r="D7" s="162"/>
      <c r="E7" s="129"/>
      <c r="F7" s="174"/>
    </row>
    <row r="8" spans="2:11" x14ac:dyDescent="0.3">
      <c r="B8" s="276"/>
      <c r="C8" s="77" t="s">
        <v>171</v>
      </c>
      <c r="D8" s="163"/>
      <c r="E8" s="273"/>
      <c r="F8" s="274"/>
    </row>
    <row r="9" spans="2:11" x14ac:dyDescent="0.3">
      <c r="B9" s="276"/>
      <c r="C9" s="77" t="s">
        <v>175</v>
      </c>
      <c r="D9" s="163"/>
      <c r="F9" s="155"/>
    </row>
    <row r="10" spans="2:11" x14ac:dyDescent="0.3">
      <c r="B10" s="276"/>
      <c r="C10" s="77" t="s">
        <v>172</v>
      </c>
      <c r="D10" s="163"/>
      <c r="E10" s="273"/>
      <c r="F10" s="274"/>
    </row>
    <row r="11" spans="2:11" x14ac:dyDescent="0.3">
      <c r="B11" s="276"/>
      <c r="C11" s="77" t="s">
        <v>176</v>
      </c>
      <c r="D11" s="163"/>
      <c r="E11" s="273"/>
      <c r="F11" s="274"/>
    </row>
    <row r="12" spans="2:11" x14ac:dyDescent="0.3">
      <c r="B12" s="276"/>
      <c r="C12" s="77" t="s">
        <v>265</v>
      </c>
      <c r="D12" s="163"/>
      <c r="F12" s="155"/>
    </row>
    <row r="13" spans="2:11" x14ac:dyDescent="0.3">
      <c r="B13" s="276"/>
      <c r="C13" s="253" t="s">
        <v>266</v>
      </c>
      <c r="D13" s="163"/>
      <c r="F13" s="155"/>
      <c r="H13" s="252"/>
      <c r="I13" s="252"/>
      <c r="J13" s="252"/>
      <c r="K13" s="252"/>
    </row>
    <row r="14" spans="2:11" x14ac:dyDescent="0.3">
      <c r="B14" s="276"/>
      <c r="C14" s="240" t="s">
        <v>259</v>
      </c>
      <c r="D14" s="241"/>
      <c r="F14" s="155"/>
    </row>
    <row r="15" spans="2:11" x14ac:dyDescent="0.3">
      <c r="B15" s="276"/>
      <c r="C15" s="77" t="s">
        <v>179</v>
      </c>
      <c r="D15" s="163"/>
      <c r="F15" s="155"/>
    </row>
    <row r="16" spans="2:11" x14ac:dyDescent="0.3">
      <c r="B16" s="276"/>
      <c r="C16" s="77" t="s">
        <v>174</v>
      </c>
      <c r="D16" s="163"/>
      <c r="F16" s="155"/>
    </row>
    <row r="17" spans="2:6" x14ac:dyDescent="0.3">
      <c r="B17" s="276"/>
      <c r="C17" s="77" t="s">
        <v>173</v>
      </c>
      <c r="D17" s="163"/>
      <c r="F17" s="155"/>
    </row>
    <row r="18" spans="2:6" x14ac:dyDescent="0.3">
      <c r="B18" s="276"/>
      <c r="C18" s="77" t="s">
        <v>260</v>
      </c>
      <c r="D18" s="163"/>
      <c r="F18" s="155"/>
    </row>
    <row r="19" spans="2:6" x14ac:dyDescent="0.3">
      <c r="B19" s="276"/>
      <c r="C19" s="240" t="s">
        <v>261</v>
      </c>
      <c r="D19" s="241"/>
      <c r="F19" s="155"/>
    </row>
    <row r="20" spans="2:6" x14ac:dyDescent="0.3">
      <c r="B20" s="276"/>
      <c r="C20" s="77" t="s">
        <v>179</v>
      </c>
      <c r="D20" s="163"/>
      <c r="F20" s="155"/>
    </row>
    <row r="21" spans="2:6" x14ac:dyDescent="0.3">
      <c r="B21" s="276"/>
      <c r="C21" s="77" t="s">
        <v>174</v>
      </c>
      <c r="D21" s="163"/>
      <c r="F21" s="155"/>
    </row>
    <row r="22" spans="2:6" x14ac:dyDescent="0.3">
      <c r="B22" s="276"/>
      <c r="C22" s="77" t="s">
        <v>173</v>
      </c>
      <c r="D22" s="163"/>
      <c r="F22" s="155"/>
    </row>
    <row r="23" spans="2:6" x14ac:dyDescent="0.3">
      <c r="B23" s="276"/>
      <c r="C23" s="77" t="s">
        <v>260</v>
      </c>
      <c r="D23" s="163"/>
      <c r="F23" s="155"/>
    </row>
    <row r="24" spans="2:6" ht="4.2" customHeight="1" x14ac:dyDescent="0.3">
      <c r="B24" s="277"/>
      <c r="C24" s="19"/>
      <c r="D24" s="125"/>
      <c r="E24" s="125"/>
      <c r="F24" s="156"/>
    </row>
    <row r="25" spans="2:6" ht="15.6" customHeight="1" x14ac:dyDescent="0.3">
      <c r="B25" s="278" t="s">
        <v>262</v>
      </c>
      <c r="C25" s="128" t="s">
        <v>263</v>
      </c>
      <c r="D25" s="162"/>
      <c r="E25" s="281"/>
      <c r="F25" s="282"/>
    </row>
    <row r="26" spans="2:6" x14ac:dyDescent="0.3">
      <c r="B26" s="279"/>
      <c r="C26" s="77" t="s">
        <v>170</v>
      </c>
      <c r="D26" s="163"/>
      <c r="E26" s="273"/>
      <c r="F26" s="274"/>
    </row>
    <row r="27" spans="2:6" x14ac:dyDescent="0.3">
      <c r="B27" s="279"/>
      <c r="C27" s="77" t="s">
        <v>171</v>
      </c>
      <c r="D27" s="163"/>
      <c r="F27" s="155"/>
    </row>
    <row r="28" spans="2:6" x14ac:dyDescent="0.3">
      <c r="B28" s="279"/>
      <c r="C28" s="77" t="s">
        <v>175</v>
      </c>
      <c r="D28" s="163"/>
      <c r="F28" s="155"/>
    </row>
    <row r="29" spans="2:6" x14ac:dyDescent="0.3">
      <c r="B29" s="279"/>
      <c r="C29" s="77" t="s">
        <v>179</v>
      </c>
      <c r="D29" s="163"/>
      <c r="F29" s="155"/>
    </row>
    <row r="30" spans="2:6" x14ac:dyDescent="0.3">
      <c r="B30" s="279"/>
      <c r="C30" s="77" t="s">
        <v>174</v>
      </c>
      <c r="D30" s="163"/>
      <c r="F30" s="155"/>
    </row>
    <row r="31" spans="2:6" ht="13.8" customHeight="1" x14ac:dyDescent="0.3">
      <c r="B31" s="279"/>
      <c r="C31" s="77" t="s">
        <v>173</v>
      </c>
      <c r="D31" s="163"/>
      <c r="F31" s="155"/>
    </row>
    <row r="32" spans="2:6" ht="4.2" hidden="1" customHeight="1" x14ac:dyDescent="0.3">
      <c r="B32" s="280"/>
      <c r="C32" s="19"/>
      <c r="D32" s="125"/>
      <c r="E32" s="125"/>
      <c r="F32" s="156"/>
    </row>
    <row r="33" spans="2:6" ht="4.2" customHeight="1" x14ac:dyDescent="0.3">
      <c r="B33" s="275" t="s">
        <v>181</v>
      </c>
      <c r="C33" s="128"/>
      <c r="D33" s="129"/>
      <c r="E33" s="129"/>
      <c r="F33" s="174"/>
    </row>
    <row r="34" spans="2:6" ht="13.95" customHeight="1" x14ac:dyDescent="0.3">
      <c r="B34" s="283"/>
      <c r="C34" s="176" t="s">
        <v>193</v>
      </c>
      <c r="E34" s="183" t="s">
        <v>192</v>
      </c>
      <c r="F34" s="184" t="s">
        <v>102</v>
      </c>
    </row>
    <row r="35" spans="2:6" ht="13.95" customHeight="1" x14ac:dyDescent="0.3">
      <c r="B35" s="283"/>
      <c r="C35" s="175" t="s">
        <v>191</v>
      </c>
      <c r="D35" s="185"/>
      <c r="E35" s="179" t="e">
        <f>+D35/TotalUnits</f>
        <v>#DIV/0!</v>
      </c>
      <c r="F35" s="180" t="e">
        <f>+D35/$D$39</f>
        <v>#DIV/0!</v>
      </c>
    </row>
    <row r="36" spans="2:6" ht="13.95" customHeight="1" x14ac:dyDescent="0.3">
      <c r="B36" s="283"/>
      <c r="C36" s="176" t="s">
        <v>182</v>
      </c>
      <c r="D36" s="8"/>
      <c r="E36" s="179"/>
      <c r="F36" s="180"/>
    </row>
    <row r="37" spans="2:6" ht="13.95" customHeight="1" x14ac:dyDescent="0.3">
      <c r="B37" s="283"/>
      <c r="C37" s="175" t="s">
        <v>185</v>
      </c>
      <c r="D37" s="67">
        <f>0.25*D35</f>
        <v>0</v>
      </c>
      <c r="E37" s="179" t="e">
        <f>+D37/TotalUnits</f>
        <v>#DIV/0!</v>
      </c>
      <c r="F37" s="180" t="e">
        <f>+D37/$D$39</f>
        <v>#DIV/0!</v>
      </c>
    </row>
    <row r="38" spans="2:6" ht="13.95" customHeight="1" x14ac:dyDescent="0.3">
      <c r="B38" s="283"/>
      <c r="C38" s="175" t="s">
        <v>186</v>
      </c>
      <c r="D38" s="69">
        <f>0.75*D35</f>
        <v>0</v>
      </c>
      <c r="E38" s="179" t="e">
        <f>+D38/TotalUnits</f>
        <v>#DIV/0!</v>
      </c>
      <c r="F38" s="181" t="e">
        <f>+D38/$D$39</f>
        <v>#DIV/0!</v>
      </c>
    </row>
    <row r="39" spans="2:6" ht="13.95" customHeight="1" x14ac:dyDescent="0.3">
      <c r="B39" s="283"/>
      <c r="C39" s="177" t="s">
        <v>184</v>
      </c>
      <c r="D39" s="8">
        <f>SUM(D37:D38)</f>
        <v>0</v>
      </c>
      <c r="F39" s="180" t="e">
        <f>+D39/$D$39</f>
        <v>#DIV/0!</v>
      </c>
    </row>
    <row r="40" spans="2:6" ht="13.95" customHeight="1" x14ac:dyDescent="0.3">
      <c r="B40" s="283"/>
      <c r="C40" s="176" t="s">
        <v>183</v>
      </c>
      <c r="D40" s="8"/>
      <c r="F40" s="182"/>
    </row>
    <row r="41" spans="2:6" ht="13.95" customHeight="1" x14ac:dyDescent="0.3">
      <c r="B41" s="283"/>
      <c r="C41" s="175" t="s">
        <v>187</v>
      </c>
      <c r="D41" s="185"/>
      <c r="E41" s="179" t="e">
        <f>+D41/TotalUnits</f>
        <v>#DIV/0!</v>
      </c>
      <c r="F41" s="180" t="e">
        <f>+D41/$D$44</f>
        <v>#DIV/0!</v>
      </c>
    </row>
    <row r="42" spans="2:6" ht="13.95" customHeight="1" x14ac:dyDescent="0.3">
      <c r="B42" s="283"/>
      <c r="C42" s="175" t="s">
        <v>188</v>
      </c>
      <c r="D42" s="185"/>
      <c r="E42" s="179" t="e">
        <f>+D42/TotalUnits</f>
        <v>#DIV/0!</v>
      </c>
      <c r="F42" s="180" t="e">
        <f>+D42/$D$44</f>
        <v>#DIV/0!</v>
      </c>
    </row>
    <row r="43" spans="2:6" ht="13.95" customHeight="1" x14ac:dyDescent="0.3">
      <c r="B43" s="283"/>
      <c r="C43" s="175" t="s">
        <v>189</v>
      </c>
      <c r="D43" s="186"/>
      <c r="E43" s="179" t="e">
        <f>+D43/TotalUnits</f>
        <v>#DIV/0!</v>
      </c>
      <c r="F43" s="181" t="e">
        <f>+D43/$D$44</f>
        <v>#DIV/0!</v>
      </c>
    </row>
    <row r="44" spans="2:6" ht="13.95" customHeight="1" x14ac:dyDescent="0.3">
      <c r="B44" s="283"/>
      <c r="C44" s="177" t="s">
        <v>184</v>
      </c>
      <c r="D44" s="8">
        <f>SUM(D41:D43)</f>
        <v>0</v>
      </c>
      <c r="F44" s="180" t="e">
        <f>+D44/$D$44</f>
        <v>#DIV/0!</v>
      </c>
    </row>
    <row r="45" spans="2:6" ht="13.95" customHeight="1" x14ac:dyDescent="0.3">
      <c r="B45" s="283"/>
      <c r="C45" s="177"/>
      <c r="D45" s="8"/>
      <c r="F45" s="178"/>
    </row>
    <row r="46" spans="2:6" ht="13.95" customHeight="1" x14ac:dyDescent="0.3">
      <c r="B46" s="284"/>
      <c r="C46" s="19" t="s">
        <v>190</v>
      </c>
      <c r="D46" s="111">
        <f>+D39-D44</f>
        <v>0</v>
      </c>
      <c r="E46" s="125"/>
      <c r="F46" s="156"/>
    </row>
    <row r="47" spans="2:6" ht="30" customHeight="1" x14ac:dyDescent="0.3">
      <c r="B47" s="278" t="s">
        <v>202</v>
      </c>
      <c r="C47" s="285" t="s">
        <v>267</v>
      </c>
      <c r="D47" s="286"/>
      <c r="E47" s="286"/>
      <c r="F47" s="287"/>
    </row>
    <row r="48" spans="2:6" ht="13.95" customHeight="1" x14ac:dyDescent="0.3">
      <c r="B48" s="279"/>
      <c r="C48" s="288"/>
      <c r="D48" s="289"/>
      <c r="E48" s="289"/>
      <c r="F48" s="290"/>
    </row>
    <row r="49" spans="2:8" ht="13.95" customHeight="1" x14ac:dyDescent="0.3">
      <c r="B49" s="279"/>
      <c r="C49" s="288"/>
      <c r="D49" s="289"/>
      <c r="E49" s="289"/>
      <c r="F49" s="290"/>
    </row>
    <row r="50" spans="2:8" ht="13.95" customHeight="1" x14ac:dyDescent="0.3">
      <c r="B50" s="279"/>
      <c r="C50" s="288"/>
      <c r="D50" s="289"/>
      <c r="E50" s="289"/>
      <c r="F50" s="290"/>
    </row>
    <row r="51" spans="2:8" ht="13.95" customHeight="1" x14ac:dyDescent="0.3">
      <c r="B51" s="279"/>
      <c r="C51" s="288"/>
      <c r="D51" s="289"/>
      <c r="E51" s="289"/>
      <c r="F51" s="290"/>
    </row>
    <row r="52" spans="2:8" ht="13.95" customHeight="1" x14ac:dyDescent="0.3">
      <c r="B52" s="279"/>
      <c r="C52" s="288"/>
      <c r="D52" s="289"/>
      <c r="E52" s="289"/>
      <c r="F52" s="290"/>
    </row>
    <row r="53" spans="2:8" ht="13.95" customHeight="1" x14ac:dyDescent="0.3">
      <c r="B53" s="279"/>
      <c r="C53" s="288"/>
      <c r="D53" s="289"/>
      <c r="E53" s="289"/>
      <c r="F53" s="290"/>
    </row>
    <row r="54" spans="2:8" ht="13.95" customHeight="1" x14ac:dyDescent="0.3">
      <c r="B54" s="279"/>
      <c r="C54" s="288"/>
      <c r="D54" s="289"/>
      <c r="E54" s="289"/>
      <c r="F54" s="290"/>
    </row>
    <row r="55" spans="2:8" ht="13.95" customHeight="1" x14ac:dyDescent="0.3">
      <c r="B55" s="280"/>
      <c r="C55" s="291"/>
      <c r="D55" s="292"/>
      <c r="E55" s="292"/>
      <c r="F55" s="293"/>
    </row>
    <row r="56" spans="2:8" x14ac:dyDescent="0.3">
      <c r="B56" s="275" t="s">
        <v>206</v>
      </c>
      <c r="C56" s="294" t="s">
        <v>205</v>
      </c>
      <c r="D56" s="295"/>
      <c r="E56" s="295"/>
      <c r="F56" s="296"/>
      <c r="H56" s="1"/>
    </row>
    <row r="57" spans="2:8" ht="13.95" customHeight="1" x14ac:dyDescent="0.3">
      <c r="B57" s="276"/>
      <c r="C57" s="297"/>
      <c r="D57" s="298"/>
      <c r="E57" s="298"/>
      <c r="F57" s="299"/>
    </row>
    <row r="58" spans="2:8" ht="13.95" customHeight="1" x14ac:dyDescent="0.3">
      <c r="B58" s="276"/>
      <c r="C58" s="297"/>
      <c r="D58" s="298"/>
      <c r="E58" s="298"/>
      <c r="F58" s="299"/>
    </row>
    <row r="59" spans="2:8" ht="13.95" customHeight="1" x14ac:dyDescent="0.3">
      <c r="B59" s="276"/>
      <c r="C59" s="297"/>
      <c r="D59" s="298"/>
      <c r="E59" s="298"/>
      <c r="F59" s="299"/>
    </row>
    <row r="60" spans="2:8" ht="13.95" customHeight="1" x14ac:dyDescent="0.3">
      <c r="B60" s="276"/>
      <c r="C60" s="297"/>
      <c r="D60" s="298"/>
      <c r="E60" s="298"/>
      <c r="F60" s="299"/>
    </row>
    <row r="61" spans="2:8" ht="13.95" customHeight="1" x14ac:dyDescent="0.3">
      <c r="B61" s="276"/>
      <c r="C61" s="297"/>
      <c r="D61" s="298"/>
      <c r="E61" s="298"/>
      <c r="F61" s="299"/>
    </row>
    <row r="62" spans="2:8" ht="13.95" customHeight="1" x14ac:dyDescent="0.3">
      <c r="B62" s="276"/>
      <c r="C62" s="297"/>
      <c r="D62" s="298"/>
      <c r="E62" s="298"/>
      <c r="F62" s="299"/>
    </row>
    <row r="63" spans="2:8" ht="13.95" customHeight="1" x14ac:dyDescent="0.3">
      <c r="B63" s="276"/>
      <c r="C63" s="297"/>
      <c r="D63" s="298"/>
      <c r="E63" s="298"/>
      <c r="F63" s="299"/>
    </row>
    <row r="64" spans="2:8" ht="13.95" customHeight="1" thickBot="1" x14ac:dyDescent="0.35">
      <c r="B64" s="204"/>
      <c r="C64" s="300"/>
      <c r="D64" s="301"/>
      <c r="E64" s="301"/>
      <c r="F64" s="302"/>
    </row>
    <row r="65" spans="2:8" ht="31.5" customHeight="1" x14ac:dyDescent="0.3">
      <c r="B65" s="206"/>
      <c r="C65" s="208" t="s">
        <v>203</v>
      </c>
      <c r="D65" s="211"/>
      <c r="E65" s="209" t="s">
        <v>166</v>
      </c>
      <c r="F65" s="210" t="s">
        <v>201</v>
      </c>
    </row>
    <row r="66" spans="2:8" ht="24" customHeight="1" x14ac:dyDescent="0.3">
      <c r="B66" s="303" t="s">
        <v>208</v>
      </c>
      <c r="C66" s="207" t="s">
        <v>167</v>
      </c>
      <c r="D66" s="165"/>
      <c r="E66" s="212"/>
      <c r="F66" s="187"/>
    </row>
    <row r="67" spans="2:8" ht="24" customHeight="1" x14ac:dyDescent="0.3">
      <c r="B67" s="303"/>
      <c r="C67" s="167" t="s">
        <v>168</v>
      </c>
      <c r="D67" s="165"/>
      <c r="E67" s="212"/>
      <c r="F67" s="187"/>
    </row>
    <row r="68" spans="2:8" ht="18" customHeight="1" x14ac:dyDescent="0.3">
      <c r="B68" s="303"/>
      <c r="C68" s="166" t="s">
        <v>196</v>
      </c>
      <c r="D68" s="165"/>
      <c r="E68" s="213"/>
      <c r="F68" s="187"/>
    </row>
    <row r="69" spans="2:8" ht="18" customHeight="1" x14ac:dyDescent="0.3">
      <c r="B69" s="303"/>
      <c r="C69" s="166" t="s">
        <v>197</v>
      </c>
      <c r="D69" s="165"/>
      <c r="E69" s="213"/>
      <c r="F69" s="187"/>
    </row>
    <row r="70" spans="2:8" ht="18" customHeight="1" x14ac:dyDescent="0.3">
      <c r="B70" s="303"/>
      <c r="C70" s="166" t="s">
        <v>198</v>
      </c>
      <c r="D70" s="165"/>
      <c r="E70" s="213">
        <f>+'[2]Financial Model'!J3</f>
        <v>0</v>
      </c>
      <c r="F70" s="187"/>
    </row>
    <row r="71" spans="2:8" ht="18" customHeight="1" x14ac:dyDescent="0.3">
      <c r="B71" s="303"/>
      <c r="C71" s="166" t="s">
        <v>199</v>
      </c>
      <c r="D71" s="165"/>
      <c r="E71" s="214" t="e">
        <f>+'[2]5year+sale'!Q13</f>
        <v>#DIV/0!</v>
      </c>
      <c r="F71" s="187"/>
    </row>
    <row r="72" spans="2:8" ht="30.75" customHeight="1" thickBot="1" x14ac:dyDescent="0.35">
      <c r="B72" s="303"/>
      <c r="C72" s="166" t="s">
        <v>200</v>
      </c>
      <c r="D72" s="165"/>
      <c r="E72" s="215" t="e">
        <f>+(E71-E70)/E70</f>
        <v>#DIV/0!</v>
      </c>
      <c r="F72" s="189"/>
    </row>
    <row r="73" spans="2:8" ht="71.25" customHeight="1" x14ac:dyDescent="0.3">
      <c r="B73" s="304" t="s">
        <v>207</v>
      </c>
      <c r="C73" s="307" t="s">
        <v>255</v>
      </c>
      <c r="D73" s="308"/>
      <c r="E73" s="216"/>
      <c r="F73" s="188"/>
      <c r="H73" s="164"/>
    </row>
    <row r="74" spans="2:8" ht="15.75" customHeight="1" x14ac:dyDescent="0.3">
      <c r="B74" s="305"/>
      <c r="C74" s="194" t="s">
        <v>232</v>
      </c>
      <c r="D74" s="195"/>
      <c r="E74" s="217"/>
      <c r="F74" s="187"/>
      <c r="H74" s="164"/>
    </row>
    <row r="75" spans="2:8" x14ac:dyDescent="0.3">
      <c r="B75" s="305"/>
      <c r="C75" s="194" t="s">
        <v>169</v>
      </c>
      <c r="D75" s="195"/>
      <c r="E75" s="218"/>
      <c r="F75" s="187"/>
      <c r="H75" s="164"/>
    </row>
    <row r="76" spans="2:8" ht="16.2" thickBot="1" x14ac:dyDescent="0.35">
      <c r="B76" s="306"/>
      <c r="C76" s="196" t="s">
        <v>235</v>
      </c>
      <c r="D76" s="197"/>
      <c r="E76" s="219"/>
      <c r="F76" s="189"/>
    </row>
    <row r="77" spans="2:8" x14ac:dyDescent="0.3">
      <c r="B77" s="311" t="s">
        <v>240</v>
      </c>
      <c r="C77" s="158" t="s">
        <v>236</v>
      </c>
      <c r="D77" s="159"/>
      <c r="E77" s="220"/>
      <c r="F77" s="188"/>
    </row>
    <row r="78" spans="2:8" x14ac:dyDescent="0.3">
      <c r="B78" s="303"/>
      <c r="C78" s="198" t="s">
        <v>238</v>
      </c>
      <c r="D78" s="199"/>
      <c r="E78" s="221"/>
      <c r="F78" s="187"/>
    </row>
    <row r="79" spans="2:8" x14ac:dyDescent="0.3">
      <c r="B79" s="303"/>
      <c r="C79" s="198" t="s">
        <v>237</v>
      </c>
      <c r="D79" s="199"/>
      <c r="E79" s="221"/>
      <c r="F79" s="187"/>
    </row>
    <row r="80" spans="2:8" x14ac:dyDescent="0.3">
      <c r="B80" s="303"/>
      <c r="C80" s="198" t="s">
        <v>239</v>
      </c>
      <c r="D80" s="199"/>
      <c r="E80" s="232"/>
      <c r="F80" s="187"/>
    </row>
    <row r="81" spans="2:6" x14ac:dyDescent="0.3">
      <c r="B81" s="303"/>
      <c r="C81" s="233" t="s">
        <v>241</v>
      </c>
      <c r="D81" s="235"/>
      <c r="E81" s="234"/>
      <c r="F81" s="236"/>
    </row>
    <row r="82" spans="2:6" x14ac:dyDescent="0.3">
      <c r="B82" s="303"/>
      <c r="C82" s="312"/>
      <c r="D82" s="313"/>
      <c r="E82" s="237"/>
      <c r="F82" s="236"/>
    </row>
    <row r="83" spans="2:6" x14ac:dyDescent="0.3">
      <c r="B83" s="303"/>
      <c r="C83" s="314"/>
      <c r="D83" s="313"/>
      <c r="E83" s="237"/>
      <c r="F83" s="236"/>
    </row>
    <row r="84" spans="2:6" x14ac:dyDescent="0.3">
      <c r="B84" s="303"/>
      <c r="C84" s="314"/>
      <c r="D84" s="313"/>
      <c r="E84" s="237"/>
      <c r="F84" s="236"/>
    </row>
    <row r="85" spans="2:6" x14ac:dyDescent="0.3">
      <c r="B85" s="303"/>
      <c r="C85" s="314"/>
      <c r="D85" s="313"/>
      <c r="E85" s="237"/>
      <c r="F85" s="236"/>
    </row>
    <row r="86" spans="2:6" ht="16.2" thickBot="1" x14ac:dyDescent="0.35">
      <c r="B86" s="303"/>
      <c r="C86" s="315"/>
      <c r="D86" s="316"/>
      <c r="E86" s="242"/>
      <c r="F86" s="236"/>
    </row>
    <row r="87" spans="2:6" ht="21.6" customHeight="1" x14ac:dyDescent="0.3">
      <c r="B87" s="317" t="s">
        <v>244</v>
      </c>
      <c r="C87" s="243" t="s">
        <v>242</v>
      </c>
      <c r="D87" s="160"/>
      <c r="E87" s="222"/>
      <c r="F87" s="188"/>
    </row>
    <row r="88" spans="2:6" s="248" customFormat="1" ht="13.2" customHeight="1" x14ac:dyDescent="0.3">
      <c r="B88" s="318"/>
      <c r="C88" s="244" t="s">
        <v>169</v>
      </c>
      <c r="D88" s="245"/>
      <c r="E88" s="246"/>
      <c r="F88" s="247"/>
    </row>
    <row r="89" spans="2:6" ht="22.2" customHeight="1" x14ac:dyDescent="0.3">
      <c r="B89" s="318"/>
      <c r="C89" s="244" t="s">
        <v>243</v>
      </c>
      <c r="D89" s="200"/>
      <c r="E89" s="223"/>
      <c r="F89" s="187"/>
    </row>
    <row r="90" spans="2:6" x14ac:dyDescent="0.3">
      <c r="B90" s="318"/>
      <c r="C90" s="201" t="s">
        <v>245</v>
      </c>
      <c r="D90" s="161"/>
      <c r="E90" s="224"/>
      <c r="F90" s="187"/>
    </row>
    <row r="91" spans="2:6" x14ac:dyDescent="0.3">
      <c r="B91" s="318"/>
      <c r="C91" s="320" t="s">
        <v>246</v>
      </c>
      <c r="D91" s="321"/>
      <c r="E91" s="224"/>
      <c r="F91" s="187"/>
    </row>
    <row r="92" spans="2:6" x14ac:dyDescent="0.3">
      <c r="B92" s="318"/>
      <c r="C92" s="320"/>
      <c r="D92" s="321"/>
      <c r="E92" s="224"/>
      <c r="F92" s="187"/>
    </row>
    <row r="93" spans="2:6" x14ac:dyDescent="0.3">
      <c r="B93" s="318"/>
      <c r="C93" s="320"/>
      <c r="D93" s="321"/>
      <c r="E93" s="224"/>
      <c r="F93" s="187"/>
    </row>
    <row r="94" spans="2:6" x14ac:dyDescent="0.3">
      <c r="B94" s="318"/>
      <c r="C94" s="320"/>
      <c r="D94" s="321"/>
      <c r="E94" s="224"/>
      <c r="F94" s="187"/>
    </row>
    <row r="95" spans="2:6" ht="127.8" customHeight="1" thickBot="1" x14ac:dyDescent="0.35">
      <c r="B95" s="319"/>
      <c r="C95" s="322"/>
      <c r="D95" s="323"/>
      <c r="E95" s="225"/>
      <c r="F95" s="189"/>
    </row>
    <row r="96" spans="2:6" ht="30.75" customHeight="1" x14ac:dyDescent="0.3">
      <c r="B96" s="324" t="s">
        <v>247</v>
      </c>
      <c r="C96" s="327" t="s">
        <v>254</v>
      </c>
      <c r="D96" s="328"/>
      <c r="E96" s="226"/>
      <c r="F96" s="188"/>
    </row>
    <row r="97" spans="2:6" x14ac:dyDescent="0.3">
      <c r="B97" s="325"/>
      <c r="C97" s="198" t="s">
        <v>248</v>
      </c>
      <c r="D97" s="199"/>
      <c r="E97" s="227"/>
      <c r="F97" s="187"/>
    </row>
    <row r="98" spans="2:6" x14ac:dyDescent="0.3">
      <c r="B98" s="325"/>
      <c r="C98" s="198" t="s">
        <v>249</v>
      </c>
      <c r="D98" s="199"/>
      <c r="E98" s="227"/>
      <c r="F98" s="187"/>
    </row>
    <row r="99" spans="2:6" ht="16.5" customHeight="1" x14ac:dyDescent="0.3">
      <c r="B99" s="325"/>
      <c r="C99" s="198" t="s">
        <v>250</v>
      </c>
      <c r="D99" s="199"/>
      <c r="E99" s="227"/>
      <c r="F99" s="187"/>
    </row>
    <row r="100" spans="2:6" ht="16.5" customHeight="1" x14ac:dyDescent="0.3">
      <c r="B100" s="325"/>
      <c r="C100" s="198" t="s">
        <v>251</v>
      </c>
      <c r="D100" s="199"/>
      <c r="E100" s="227"/>
      <c r="F100" s="187"/>
    </row>
    <row r="101" spans="2:6" ht="16.5" customHeight="1" x14ac:dyDescent="0.3">
      <c r="B101" s="325"/>
      <c r="C101" s="198" t="s">
        <v>252</v>
      </c>
      <c r="D101" s="199"/>
      <c r="E101" s="227"/>
      <c r="F101" s="187"/>
    </row>
    <row r="102" spans="2:6" ht="16.2" thickBot="1" x14ac:dyDescent="0.35">
      <c r="B102" s="326"/>
      <c r="C102" s="249" t="s">
        <v>253</v>
      </c>
      <c r="D102" s="250"/>
      <c r="E102" s="251"/>
      <c r="F102" s="189"/>
    </row>
    <row r="103" spans="2:6" ht="32.549999999999997" customHeight="1" x14ac:dyDescent="0.3">
      <c r="B103" s="309" t="s">
        <v>204</v>
      </c>
      <c r="C103" s="310"/>
      <c r="D103" s="310"/>
      <c r="E103" s="310"/>
      <c r="F103" s="310"/>
    </row>
    <row r="104" spans="2:6" x14ac:dyDescent="0.3">
      <c r="B104" s="5" t="s">
        <v>264</v>
      </c>
    </row>
  </sheetData>
  <mergeCells count="24">
    <mergeCell ref="B66:B72"/>
    <mergeCell ref="B73:B76"/>
    <mergeCell ref="C73:D73"/>
    <mergeCell ref="B103:F103"/>
    <mergeCell ref="B77:B86"/>
    <mergeCell ref="C82:D86"/>
    <mergeCell ref="B87:B95"/>
    <mergeCell ref="C91:D95"/>
    <mergeCell ref="B96:B102"/>
    <mergeCell ref="C96:D96"/>
    <mergeCell ref="B33:B46"/>
    <mergeCell ref="B47:B55"/>
    <mergeCell ref="C47:F47"/>
    <mergeCell ref="C48:F55"/>
    <mergeCell ref="B56:B63"/>
    <mergeCell ref="C56:F56"/>
    <mergeCell ref="C57:F64"/>
    <mergeCell ref="E8:F8"/>
    <mergeCell ref="E10:F10"/>
    <mergeCell ref="E11:F11"/>
    <mergeCell ref="B7:B24"/>
    <mergeCell ref="B25:B32"/>
    <mergeCell ref="E25:F25"/>
    <mergeCell ref="E26:F26"/>
  </mergeCells>
  <hyperlinks>
    <hyperlink ref="C13" r:id="rId1" xr:uid="{24F72EBE-2BB4-4E7A-9869-763B4980762A}"/>
  </hyperlinks>
  <pageMargins left="0.25" right="0.25" top="0.75" bottom="0.75" header="0.3" footer="0.3"/>
  <pageSetup paperSize="17" scale="7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4</xdr:col>
                    <xdr:colOff>320040</xdr:colOff>
                    <xdr:row>86</xdr:row>
                    <xdr:rowOff>15240</xdr:rowOff>
                  </from>
                  <to>
                    <xdr:col>5</xdr:col>
                    <xdr:colOff>198120</xdr:colOff>
                    <xdr:row>87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4</xdr:col>
                    <xdr:colOff>320040</xdr:colOff>
                    <xdr:row>87</xdr:row>
                    <xdr:rowOff>83820</xdr:rowOff>
                  </from>
                  <to>
                    <xdr:col>5</xdr:col>
                    <xdr:colOff>396240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4</xdr:col>
                    <xdr:colOff>320040</xdr:colOff>
                    <xdr:row>76</xdr:row>
                    <xdr:rowOff>167640</xdr:rowOff>
                  </from>
                  <to>
                    <xdr:col>5</xdr:col>
                    <xdr:colOff>198120</xdr:colOff>
                    <xdr:row>78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4</xdr:col>
                    <xdr:colOff>327660</xdr:colOff>
                    <xdr:row>77</xdr:row>
                    <xdr:rowOff>182880</xdr:rowOff>
                  </from>
                  <to>
                    <xdr:col>5</xdr:col>
                    <xdr:colOff>213360</xdr:colOff>
                    <xdr:row>79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4</xdr:col>
                    <xdr:colOff>327660</xdr:colOff>
                    <xdr:row>78</xdr:row>
                    <xdr:rowOff>182880</xdr:rowOff>
                  </from>
                  <to>
                    <xdr:col>5</xdr:col>
                    <xdr:colOff>213360</xdr:colOff>
                    <xdr:row>80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4</xdr:col>
                    <xdr:colOff>327660</xdr:colOff>
                    <xdr:row>72</xdr:row>
                    <xdr:rowOff>891540</xdr:rowOff>
                  </from>
                  <to>
                    <xdr:col>5</xdr:col>
                    <xdr:colOff>213360</xdr:colOff>
                    <xdr:row>74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4</xdr:col>
                    <xdr:colOff>335280</xdr:colOff>
                    <xdr:row>74</xdr:row>
                    <xdr:rowOff>182880</xdr:rowOff>
                  </from>
                  <to>
                    <xdr:col>5</xdr:col>
                    <xdr:colOff>220980</xdr:colOff>
                    <xdr:row>76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4</xdr:col>
                    <xdr:colOff>312420</xdr:colOff>
                    <xdr:row>95</xdr:row>
                    <xdr:rowOff>289560</xdr:rowOff>
                  </from>
                  <to>
                    <xdr:col>5</xdr:col>
                    <xdr:colOff>388620</xdr:colOff>
                    <xdr:row>98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4</xdr:col>
                    <xdr:colOff>312420</xdr:colOff>
                    <xdr:row>96</xdr:row>
                    <xdr:rowOff>83820</xdr:rowOff>
                  </from>
                  <to>
                    <xdr:col>5</xdr:col>
                    <xdr:colOff>388620</xdr:colOff>
                    <xdr:row>98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4</xdr:col>
                    <xdr:colOff>312420</xdr:colOff>
                    <xdr:row>97</xdr:row>
                    <xdr:rowOff>91440</xdr:rowOff>
                  </from>
                  <to>
                    <xdr:col>5</xdr:col>
                    <xdr:colOff>388620</xdr:colOff>
                    <xdr:row>99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4</xdr:col>
                    <xdr:colOff>312420</xdr:colOff>
                    <xdr:row>98</xdr:row>
                    <xdr:rowOff>99060</xdr:rowOff>
                  </from>
                  <to>
                    <xdr:col>5</xdr:col>
                    <xdr:colOff>388620</xdr:colOff>
                    <xdr:row>100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 moveWithCells="1">
                  <from>
                    <xdr:col>4</xdr:col>
                    <xdr:colOff>312420</xdr:colOff>
                    <xdr:row>99</xdr:row>
                    <xdr:rowOff>106680</xdr:rowOff>
                  </from>
                  <to>
                    <xdr:col>5</xdr:col>
                    <xdr:colOff>388620</xdr:colOff>
                    <xdr:row>101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>
                <anchor moveWithCells="1">
                  <from>
                    <xdr:col>4</xdr:col>
                    <xdr:colOff>320040</xdr:colOff>
                    <xdr:row>100</xdr:row>
                    <xdr:rowOff>106680</xdr:rowOff>
                  </from>
                  <to>
                    <xdr:col>5</xdr:col>
                    <xdr:colOff>396240</xdr:colOff>
                    <xdr:row>102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65"/>
  <sheetViews>
    <sheetView showGridLines="0" zoomScaleNormal="100" workbookViewId="0">
      <selection activeCell="D4" sqref="D4"/>
    </sheetView>
  </sheetViews>
  <sheetFormatPr defaultRowHeight="15.6" outlineLevelRow="1" x14ac:dyDescent="0.3"/>
  <cols>
    <col min="1" max="1" width="1.77734375" customWidth="1"/>
    <col min="2" max="2" width="7.77734375" customWidth="1"/>
    <col min="4" max="4" width="16.77734375" customWidth="1"/>
    <col min="5" max="5" width="1.77734375" customWidth="1"/>
    <col min="6" max="6" width="9.21875" bestFit="1" customWidth="1"/>
    <col min="7" max="7" width="6.77734375" customWidth="1"/>
    <col min="8" max="9" width="11.77734375" customWidth="1"/>
    <col min="10" max="10" width="12.77734375" customWidth="1"/>
    <col min="13" max="13" width="5.77734375" customWidth="1"/>
    <col min="15" max="17" width="9.88671875" bestFit="1" customWidth="1"/>
  </cols>
  <sheetData>
    <row r="1" spans="2:17" ht="3" customHeight="1" x14ac:dyDescent="0.3"/>
    <row r="2" spans="2:17" x14ac:dyDescent="0.3">
      <c r="C2" s="1" t="s">
        <v>164</v>
      </c>
      <c r="F2" s="74" t="s">
        <v>162</v>
      </c>
      <c r="G2" s="75"/>
      <c r="H2" s="75"/>
      <c r="I2" s="75"/>
      <c r="J2" s="76"/>
      <c r="K2" s="78" t="s">
        <v>159</v>
      </c>
      <c r="L2" s="62"/>
      <c r="M2" s="63"/>
    </row>
    <row r="3" spans="2:17" x14ac:dyDescent="0.3">
      <c r="C3" s="38" t="s">
        <v>158</v>
      </c>
      <c r="D3" s="170">
        <f>+Application!D7</f>
        <v>0</v>
      </c>
      <c r="E3" s="5"/>
      <c r="F3" s="128" t="s">
        <v>71</v>
      </c>
      <c r="G3" s="129"/>
      <c r="H3" s="130" t="e">
        <f>+J3/H29</f>
        <v>#DIV/0!</v>
      </c>
      <c r="I3" s="26" t="s">
        <v>115</v>
      </c>
      <c r="J3" s="134">
        <f>+Application!D20</f>
        <v>0</v>
      </c>
      <c r="K3" s="329"/>
      <c r="L3" s="330"/>
      <c r="M3" s="331"/>
    </row>
    <row r="4" spans="2:17" x14ac:dyDescent="0.3">
      <c r="C4" s="38" t="s">
        <v>113</v>
      </c>
      <c r="D4" s="171">
        <f>+Application!D14</f>
        <v>0</v>
      </c>
      <c r="E4" s="5"/>
      <c r="F4" s="77" t="s">
        <v>143</v>
      </c>
      <c r="G4" s="5"/>
      <c r="H4" s="131" t="e">
        <f>+H60/J3</f>
        <v>#DIV/0!</v>
      </c>
      <c r="I4" s="60"/>
      <c r="J4" s="133"/>
      <c r="K4" s="332"/>
      <c r="L4" s="333"/>
      <c r="M4" s="334"/>
    </row>
    <row r="5" spans="2:17" x14ac:dyDescent="0.3">
      <c r="C5" s="38" t="s">
        <v>114</v>
      </c>
      <c r="D5" s="172">
        <f>+Application!E4</f>
        <v>0</v>
      </c>
      <c r="E5" s="46"/>
      <c r="F5" s="77" t="s">
        <v>144</v>
      </c>
      <c r="G5" s="5"/>
      <c r="H5" s="131" t="e">
        <f>+H63/(J3-'5year+sale'!E41)</f>
        <v>#DIV/0!</v>
      </c>
      <c r="I5" s="50" t="s">
        <v>145</v>
      </c>
      <c r="J5" s="202" t="e">
        <f>+Application!E72</f>
        <v>#DIV/0!</v>
      </c>
      <c r="K5" s="332"/>
      <c r="L5" s="333"/>
      <c r="M5" s="334"/>
    </row>
    <row r="6" spans="2:17" x14ac:dyDescent="0.3">
      <c r="B6" s="1"/>
      <c r="C6" s="56"/>
      <c r="E6" s="55"/>
      <c r="F6" s="77" t="s">
        <v>121</v>
      </c>
      <c r="G6" s="58"/>
      <c r="H6" s="131" t="e">
        <f>+'5year+sale'!S38</f>
        <v>#VALUE!</v>
      </c>
      <c r="I6" s="50" t="s">
        <v>147</v>
      </c>
      <c r="J6" s="202">
        <f>+Application!E73</f>
        <v>0</v>
      </c>
      <c r="K6" s="332"/>
      <c r="L6" s="333"/>
      <c r="M6" s="334"/>
    </row>
    <row r="7" spans="2:17" x14ac:dyDescent="0.3">
      <c r="B7" s="74" t="s">
        <v>75</v>
      </c>
      <c r="C7" s="120"/>
      <c r="D7" s="121"/>
      <c r="F7" s="19" t="s">
        <v>120</v>
      </c>
      <c r="G7" s="42"/>
      <c r="H7" s="132" t="e">
        <f>+'5year+sale'!S47</f>
        <v>#VALUE!</v>
      </c>
      <c r="I7" s="60" t="s">
        <v>146</v>
      </c>
      <c r="J7" s="203">
        <f>+Application!E74</f>
        <v>0</v>
      </c>
      <c r="K7" s="335"/>
      <c r="L7" s="336"/>
      <c r="M7" s="337"/>
    </row>
    <row r="8" spans="2:17" ht="3" customHeight="1" x14ac:dyDescent="0.3">
      <c r="B8" s="122"/>
      <c r="C8" s="123"/>
      <c r="D8" s="124"/>
    </row>
    <row r="9" spans="2:17" s="1" customFormat="1" ht="47.55" customHeight="1" x14ac:dyDescent="0.3">
      <c r="B9" s="98" t="s">
        <v>76</v>
      </c>
      <c r="C9" s="1" t="s">
        <v>77</v>
      </c>
      <c r="D9" s="1" t="s">
        <v>78</v>
      </c>
      <c r="E9" s="28"/>
      <c r="F9" s="190" t="s">
        <v>119</v>
      </c>
      <c r="G9" s="112"/>
      <c r="H9" s="191" t="s">
        <v>79</v>
      </c>
      <c r="I9" s="192" t="s">
        <v>194</v>
      </c>
      <c r="J9" s="238" t="s">
        <v>257</v>
      </c>
      <c r="K9" s="190" t="s">
        <v>195</v>
      </c>
      <c r="L9" s="28"/>
      <c r="M9" s="101"/>
      <c r="O9" s="193" t="str">
        <f>CONCATENATE("Annual ",H9)</f>
        <v>Annual Current Avg. Rent</v>
      </c>
      <c r="P9" s="193" t="str">
        <f>CONCATENATE("Annual ",I9)</f>
        <v>Annual Target                    Rent</v>
      </c>
      <c r="Q9" s="193" t="str">
        <f>CONCATENATE("Annual ",J9)</f>
        <v>Annual 80% of AMI</v>
      </c>
    </row>
    <row r="10" spans="2:17" x14ac:dyDescent="0.3">
      <c r="B10" s="135">
        <v>0</v>
      </c>
      <c r="C10" s="136"/>
      <c r="D10" s="137"/>
      <c r="E10" s="138"/>
      <c r="F10" s="139"/>
      <c r="G10" s="140" t="s">
        <v>84</v>
      </c>
      <c r="H10" s="141"/>
      <c r="I10" s="142"/>
      <c r="J10" s="143"/>
      <c r="K10" s="139">
        <f>+$B10*F10</f>
        <v>0</v>
      </c>
      <c r="L10" t="s">
        <v>84</v>
      </c>
      <c r="M10" s="31"/>
      <c r="O10" s="7">
        <f t="shared" ref="O10:Q12" si="0">+$B10*H10*12</f>
        <v>0</v>
      </c>
      <c r="P10" s="7">
        <f t="shared" si="0"/>
        <v>0</v>
      </c>
      <c r="Q10" s="7">
        <f t="shared" si="0"/>
        <v>0</v>
      </c>
    </row>
    <row r="11" spans="2:17" x14ac:dyDescent="0.3">
      <c r="B11" s="135">
        <v>0</v>
      </c>
      <c r="C11" s="136"/>
      <c r="D11" s="137"/>
      <c r="E11" s="138"/>
      <c r="F11" s="139"/>
      <c r="G11" s="140" t="s">
        <v>84</v>
      </c>
      <c r="H11" s="141"/>
      <c r="I11" s="142"/>
      <c r="J11" s="143"/>
      <c r="K11" s="139">
        <f t="shared" ref="K11:K16" si="1">+$B11*F11</f>
        <v>0</v>
      </c>
      <c r="L11" t="s">
        <v>84</v>
      </c>
      <c r="M11" s="31"/>
      <c r="O11" s="7">
        <f t="shared" si="0"/>
        <v>0</v>
      </c>
      <c r="P11" s="7">
        <f t="shared" si="0"/>
        <v>0</v>
      </c>
      <c r="Q11" s="7">
        <f t="shared" si="0"/>
        <v>0</v>
      </c>
    </row>
    <row r="12" spans="2:17" x14ac:dyDescent="0.3">
      <c r="B12" s="135">
        <v>0</v>
      </c>
      <c r="C12" s="136"/>
      <c r="D12" s="137"/>
      <c r="E12" s="137"/>
      <c r="F12" s="139"/>
      <c r="G12" s="140" t="s">
        <v>84</v>
      </c>
      <c r="H12" s="141"/>
      <c r="I12" s="142"/>
      <c r="J12" s="143"/>
      <c r="K12" s="139">
        <f t="shared" si="1"/>
        <v>0</v>
      </c>
      <c r="L12" t="s">
        <v>84</v>
      </c>
      <c r="M12" s="31"/>
      <c r="O12" s="7">
        <f t="shared" si="0"/>
        <v>0</v>
      </c>
      <c r="P12" s="7">
        <f t="shared" si="0"/>
        <v>0</v>
      </c>
      <c r="Q12" s="7">
        <f t="shared" si="0"/>
        <v>0</v>
      </c>
    </row>
    <row r="13" spans="2:17" x14ac:dyDescent="0.3">
      <c r="B13" s="135">
        <v>0</v>
      </c>
      <c r="C13" s="136"/>
      <c r="D13" s="137"/>
      <c r="E13" s="137"/>
      <c r="F13" s="139"/>
      <c r="G13" s="140" t="s">
        <v>84</v>
      </c>
      <c r="H13" s="141"/>
      <c r="I13" s="142"/>
      <c r="J13" s="143"/>
      <c r="K13" s="139">
        <f t="shared" si="1"/>
        <v>0</v>
      </c>
      <c r="L13" t="s">
        <v>84</v>
      </c>
      <c r="M13" s="31"/>
      <c r="O13" s="7">
        <f t="shared" ref="O13:O18" si="2">+$B13*H13*12</f>
        <v>0</v>
      </c>
      <c r="P13" s="7">
        <f t="shared" ref="P13:P18" si="3">+$B13*I13*12</f>
        <v>0</v>
      </c>
      <c r="Q13" s="7">
        <f t="shared" ref="Q13:Q18" si="4">+$B13*J13*12</f>
        <v>0</v>
      </c>
    </row>
    <row r="14" spans="2:17" x14ac:dyDescent="0.3">
      <c r="B14" s="135">
        <v>0</v>
      </c>
      <c r="C14" s="136"/>
      <c r="D14" s="137"/>
      <c r="E14" s="137"/>
      <c r="F14" s="139"/>
      <c r="G14" s="140" t="s">
        <v>84</v>
      </c>
      <c r="H14" s="141"/>
      <c r="I14" s="142"/>
      <c r="J14" s="143"/>
      <c r="K14" s="139">
        <f t="shared" si="1"/>
        <v>0</v>
      </c>
      <c r="L14" t="s">
        <v>84</v>
      </c>
      <c r="M14" s="31"/>
      <c r="O14" s="7">
        <f t="shared" si="2"/>
        <v>0</v>
      </c>
      <c r="P14" s="7">
        <f t="shared" si="3"/>
        <v>0</v>
      </c>
      <c r="Q14" s="7">
        <f t="shared" si="4"/>
        <v>0</v>
      </c>
    </row>
    <row r="15" spans="2:17" x14ac:dyDescent="0.3">
      <c r="B15" s="135">
        <v>0</v>
      </c>
      <c r="C15" s="136"/>
      <c r="D15" s="137"/>
      <c r="E15" s="137"/>
      <c r="F15" s="139"/>
      <c r="G15" s="140" t="s">
        <v>84</v>
      </c>
      <c r="H15" s="141"/>
      <c r="I15" s="142"/>
      <c r="J15" s="143"/>
      <c r="K15" s="139">
        <f t="shared" si="1"/>
        <v>0</v>
      </c>
      <c r="L15" t="s">
        <v>84</v>
      </c>
      <c r="M15" s="31"/>
      <c r="O15" s="7">
        <f t="shared" si="2"/>
        <v>0</v>
      </c>
      <c r="P15" s="7">
        <f t="shared" si="3"/>
        <v>0</v>
      </c>
      <c r="Q15" s="7">
        <f t="shared" si="4"/>
        <v>0</v>
      </c>
    </row>
    <row r="16" spans="2:17" x14ac:dyDescent="0.3">
      <c r="B16" s="135">
        <v>0</v>
      </c>
      <c r="C16" s="136"/>
      <c r="D16" s="137"/>
      <c r="E16" s="137"/>
      <c r="F16" s="139"/>
      <c r="G16" s="140" t="s">
        <v>84</v>
      </c>
      <c r="H16" s="141"/>
      <c r="I16" s="142"/>
      <c r="J16" s="143"/>
      <c r="K16" s="139">
        <f t="shared" si="1"/>
        <v>0</v>
      </c>
      <c r="L16" t="s">
        <v>84</v>
      </c>
      <c r="M16" s="31"/>
      <c r="O16" s="7">
        <f t="shared" si="2"/>
        <v>0</v>
      </c>
      <c r="P16" s="7">
        <f t="shared" si="3"/>
        <v>0</v>
      </c>
      <c r="Q16" s="7">
        <f t="shared" si="4"/>
        <v>0</v>
      </c>
    </row>
    <row r="17" spans="2:17" outlineLevel="1" x14ac:dyDescent="0.3">
      <c r="B17" s="135">
        <v>0</v>
      </c>
      <c r="C17" s="136"/>
      <c r="D17" s="137"/>
      <c r="E17" s="137"/>
      <c r="F17" s="139"/>
      <c r="G17" s="140" t="s">
        <v>84</v>
      </c>
      <c r="H17" s="141"/>
      <c r="I17" s="142"/>
      <c r="J17" s="143"/>
      <c r="K17" s="139">
        <f>+$B17*F17*12</f>
        <v>0</v>
      </c>
      <c r="L17" t="s">
        <v>84</v>
      </c>
      <c r="M17" s="31"/>
      <c r="O17" s="7">
        <f t="shared" si="2"/>
        <v>0</v>
      </c>
      <c r="P17" s="7">
        <f t="shared" si="3"/>
        <v>0</v>
      </c>
      <c r="Q17" s="7">
        <f t="shared" si="4"/>
        <v>0</v>
      </c>
    </row>
    <row r="18" spans="2:17" outlineLevel="1" x14ac:dyDescent="0.3">
      <c r="B18" s="135">
        <v>0</v>
      </c>
      <c r="C18" s="136"/>
      <c r="D18" s="137"/>
      <c r="E18" s="137"/>
      <c r="F18" s="139"/>
      <c r="G18" s="140" t="s">
        <v>84</v>
      </c>
      <c r="H18" s="141"/>
      <c r="I18" s="142"/>
      <c r="J18" s="143"/>
      <c r="K18" s="139">
        <f>+$B18*F18*12</f>
        <v>0</v>
      </c>
      <c r="L18" t="s">
        <v>84</v>
      </c>
      <c r="M18" s="31"/>
      <c r="O18" s="7">
        <f t="shared" si="2"/>
        <v>0</v>
      </c>
      <c r="P18" s="7">
        <f t="shared" si="3"/>
        <v>0</v>
      </c>
      <c r="Q18" s="7">
        <f t="shared" si="4"/>
        <v>0</v>
      </c>
    </row>
    <row r="19" spans="2:17" outlineLevel="1" x14ac:dyDescent="0.3">
      <c r="B19" s="135">
        <v>0</v>
      </c>
      <c r="C19" s="136"/>
      <c r="D19" s="137"/>
      <c r="E19" s="137"/>
      <c r="F19" s="139"/>
      <c r="G19" s="140" t="s">
        <v>84</v>
      </c>
      <c r="H19" s="141"/>
      <c r="I19" s="142"/>
      <c r="J19" s="143"/>
      <c r="K19" s="139">
        <f>+$B19*F19*12</f>
        <v>0</v>
      </c>
      <c r="L19" t="s">
        <v>84</v>
      </c>
      <c r="M19" s="31"/>
      <c r="O19" s="7">
        <f>+$B19*H19*12</f>
        <v>0</v>
      </c>
      <c r="P19" s="7">
        <f>+$B19*I19*12</f>
        <v>0</v>
      </c>
      <c r="Q19" s="7">
        <f>+$B19*J19*12</f>
        <v>0</v>
      </c>
    </row>
    <row r="20" spans="2:17" ht="3.6" customHeight="1" outlineLevel="1" x14ac:dyDescent="0.3">
      <c r="B20" s="103"/>
      <c r="C20" s="41"/>
      <c r="D20" s="43"/>
      <c r="E20" s="6"/>
      <c r="F20" s="47"/>
      <c r="G20" s="57"/>
      <c r="H20" s="95"/>
      <c r="I20" s="113"/>
      <c r="J20" s="87"/>
      <c r="K20" s="44"/>
      <c r="M20" s="31"/>
      <c r="O20" s="13"/>
      <c r="P20" s="13"/>
      <c r="Q20" s="13"/>
    </row>
    <row r="21" spans="2:17" x14ac:dyDescent="0.3">
      <c r="B21" s="103">
        <f>SUM(B10:B19)</f>
        <v>0</v>
      </c>
      <c r="C21" s="114"/>
      <c r="D21" s="35" t="str">
        <f>CONCATENATE(COUNTA(D10:D19)," floorplans        /     avg. rent/sf=")</f>
        <v>0 floorplans        /     avg. rent/sf=</v>
      </c>
      <c r="E21" s="35"/>
      <c r="F21" s="44"/>
      <c r="G21" s="115"/>
      <c r="H21" s="116" t="e">
        <f>+O21/totalsf/TotalUnits</f>
        <v>#DIV/0!</v>
      </c>
      <c r="I21" s="117" t="e">
        <f>+P21/totalsf/TotalUnits</f>
        <v>#DIV/0!</v>
      </c>
      <c r="J21" s="118" t="e">
        <f>+Q21/totalsf/TotalUnits</f>
        <v>#DIV/0!</v>
      </c>
      <c r="K21" s="119">
        <f>SUM(K10:K19)</f>
        <v>0</v>
      </c>
      <c r="L21" s="42" t="s">
        <v>84</v>
      </c>
      <c r="M21" s="61"/>
      <c r="O21" s="7">
        <f>SUM(O10:O19)</f>
        <v>0</v>
      </c>
      <c r="P21" s="7">
        <f>SUM(P10:P19)</f>
        <v>0</v>
      </c>
      <c r="Q21" s="7">
        <f>SUM(Q10:Q19)</f>
        <v>0</v>
      </c>
    </row>
    <row r="22" spans="2:17" ht="3" customHeight="1" x14ac:dyDescent="0.3">
      <c r="F22" s="40"/>
      <c r="G22" s="40"/>
      <c r="I22" s="64"/>
      <c r="J22" s="65"/>
    </row>
    <row r="23" spans="2:17" x14ac:dyDescent="0.3">
      <c r="B23" s="26" t="s">
        <v>93</v>
      </c>
      <c r="C23" s="52"/>
      <c r="D23" s="52"/>
      <c r="E23" s="52"/>
      <c r="F23" s="81"/>
      <c r="G23" s="81"/>
      <c r="H23" s="52"/>
      <c r="I23" s="82"/>
      <c r="J23" s="83"/>
      <c r="K23" s="52"/>
      <c r="L23" s="52"/>
      <c r="M23" s="51"/>
    </row>
    <row r="24" spans="2:17" x14ac:dyDescent="0.3">
      <c r="B24" s="84" t="s">
        <v>148</v>
      </c>
      <c r="C24" s="85" t="s">
        <v>97</v>
      </c>
      <c r="D24" s="86"/>
      <c r="E24" s="86"/>
      <c r="F24" s="86"/>
      <c r="G24" s="86"/>
      <c r="H24" s="86"/>
      <c r="I24" s="65"/>
      <c r="J24" s="87">
        <f>+Q21</f>
        <v>0</v>
      </c>
      <c r="K24" s="18" t="s">
        <v>111</v>
      </c>
      <c r="M24" s="31"/>
    </row>
    <row r="25" spans="2:17" x14ac:dyDescent="0.3">
      <c r="B25" s="88" t="s">
        <v>149</v>
      </c>
      <c r="C25" s="89" t="s">
        <v>96</v>
      </c>
      <c r="D25" s="90"/>
      <c r="E25" s="90"/>
      <c r="F25" s="90"/>
      <c r="G25" s="90"/>
      <c r="H25" s="90"/>
      <c r="I25" s="91">
        <f>+P21</f>
        <v>0</v>
      </c>
      <c r="J25" s="59" t="e">
        <f>+(J24-I25)/J24</f>
        <v>#DIV/0!</v>
      </c>
      <c r="K25" s="58" t="s">
        <v>116</v>
      </c>
      <c r="M25" s="31"/>
    </row>
    <row r="26" spans="2:17" x14ac:dyDescent="0.3">
      <c r="B26" s="92" t="s">
        <v>150</v>
      </c>
      <c r="C26" s="93" t="s">
        <v>95</v>
      </c>
      <c r="D26" s="94"/>
      <c r="E26" s="94"/>
      <c r="F26" s="94"/>
      <c r="G26" s="94"/>
      <c r="H26" s="95">
        <f>+O21</f>
        <v>0</v>
      </c>
      <c r="J26" s="59" t="e">
        <f>+(I25-H26)/I25</f>
        <v>#DIV/0!</v>
      </c>
      <c r="K26" s="58" t="s">
        <v>117</v>
      </c>
      <c r="M26" s="31"/>
    </row>
    <row r="27" spans="2:17" x14ac:dyDescent="0.3">
      <c r="B27" s="96" t="s">
        <v>151</v>
      </c>
      <c r="C27" s="97" t="s">
        <v>94</v>
      </c>
      <c r="H27" s="7">
        <f>+H26-(H26*J27)</f>
        <v>0</v>
      </c>
      <c r="J27" s="144">
        <v>0.05</v>
      </c>
      <c r="K27" s="58" t="s">
        <v>98</v>
      </c>
      <c r="M27" s="31"/>
    </row>
    <row r="28" spans="2:17" x14ac:dyDescent="0.3">
      <c r="B28" s="96" t="s">
        <v>152</v>
      </c>
      <c r="C28" s="5" t="s">
        <v>99</v>
      </c>
      <c r="E28" s="5"/>
      <c r="H28" s="7"/>
      <c r="J28" s="59" t="e">
        <f>+H28/H27</f>
        <v>#DIV/0!</v>
      </c>
      <c r="K28" s="58" t="s">
        <v>163</v>
      </c>
      <c r="M28" s="31"/>
    </row>
    <row r="29" spans="2:17" x14ac:dyDescent="0.3">
      <c r="B29" s="109" t="s">
        <v>153</v>
      </c>
      <c r="C29" s="126" t="s">
        <v>112</v>
      </c>
      <c r="D29" s="110"/>
      <c r="E29" s="110"/>
      <c r="F29" s="110"/>
      <c r="G29" s="110"/>
      <c r="H29" s="111">
        <f>+H28+H27</f>
        <v>0</v>
      </c>
      <c r="I29" s="110"/>
      <c r="J29" s="42"/>
      <c r="K29" s="42"/>
      <c r="L29" s="42"/>
      <c r="M29" s="61"/>
    </row>
    <row r="30" spans="2:17" ht="3" customHeight="1" x14ac:dyDescent="0.3">
      <c r="B30" s="5"/>
    </row>
    <row r="31" spans="2:17" s="1" customFormat="1" x14ac:dyDescent="0.3">
      <c r="B31" s="26" t="s">
        <v>87</v>
      </c>
      <c r="C31" s="28"/>
      <c r="D31" s="28"/>
      <c r="E31" s="28"/>
      <c r="F31" s="28"/>
      <c r="G31" s="99" t="s">
        <v>102</v>
      </c>
      <c r="H31" s="100" t="s">
        <v>154</v>
      </c>
      <c r="I31" s="99" t="s">
        <v>103</v>
      </c>
      <c r="J31" s="28" t="s">
        <v>101</v>
      </c>
      <c r="K31" s="28" t="s">
        <v>233</v>
      </c>
      <c r="L31" s="28"/>
      <c r="M31" s="101"/>
    </row>
    <row r="32" spans="2:17" x14ac:dyDescent="0.3">
      <c r="B32" s="102">
        <v>1</v>
      </c>
      <c r="C32" t="s">
        <v>88</v>
      </c>
      <c r="G32" s="59" t="str">
        <f t="shared" ref="G32:G58" si="5">+IF(H32&gt;0.01,H32/$H$29,"")</f>
        <v/>
      </c>
      <c r="H32" s="145"/>
      <c r="I32" s="48" t="str">
        <f t="shared" ref="I32:I57" si="6">+IF(H32&gt;0.01,H32/TotalUnits,"")</f>
        <v/>
      </c>
      <c r="J32" s="138"/>
      <c r="M32" s="31"/>
    </row>
    <row r="33" spans="2:13" x14ac:dyDescent="0.3">
      <c r="B33" s="102">
        <v>2</v>
      </c>
      <c r="C33" t="s">
        <v>89</v>
      </c>
      <c r="G33" s="59" t="str">
        <f t="shared" si="5"/>
        <v/>
      </c>
      <c r="H33" s="145"/>
      <c r="I33" s="48" t="str">
        <f t="shared" si="6"/>
        <v/>
      </c>
      <c r="J33" s="146"/>
      <c r="M33" s="31"/>
    </row>
    <row r="34" spans="2:13" x14ac:dyDescent="0.3">
      <c r="B34" s="102">
        <v>3</v>
      </c>
      <c r="C34" t="s">
        <v>90</v>
      </c>
      <c r="G34" s="59" t="str">
        <f t="shared" si="5"/>
        <v/>
      </c>
      <c r="H34" s="145"/>
      <c r="I34" s="48" t="str">
        <f t="shared" si="6"/>
        <v/>
      </c>
      <c r="J34" s="138"/>
      <c r="M34" s="31"/>
    </row>
    <row r="35" spans="2:13" x14ac:dyDescent="0.3">
      <c r="B35" s="102">
        <v>4</v>
      </c>
      <c r="C35" t="s">
        <v>137</v>
      </c>
      <c r="G35" s="59" t="str">
        <f t="shared" si="5"/>
        <v/>
      </c>
      <c r="H35" s="145"/>
      <c r="I35" s="48" t="str">
        <f t="shared" si="6"/>
        <v/>
      </c>
      <c r="J35" s="138"/>
      <c r="M35" s="31"/>
    </row>
    <row r="36" spans="2:13" x14ac:dyDescent="0.3">
      <c r="B36" s="102">
        <v>5</v>
      </c>
      <c r="C36" t="s">
        <v>138</v>
      </c>
      <c r="G36" s="59" t="str">
        <f t="shared" si="5"/>
        <v/>
      </c>
      <c r="H36" s="145"/>
      <c r="I36" s="48" t="str">
        <f t="shared" si="6"/>
        <v/>
      </c>
      <c r="J36" s="146"/>
      <c r="M36" s="31"/>
    </row>
    <row r="37" spans="2:13" x14ac:dyDescent="0.3">
      <c r="B37" s="102">
        <v>6</v>
      </c>
      <c r="C37" t="s">
        <v>139</v>
      </c>
      <c r="G37" s="59" t="str">
        <f t="shared" si="5"/>
        <v/>
      </c>
      <c r="H37" s="145"/>
      <c r="I37" s="48" t="str">
        <f t="shared" si="6"/>
        <v/>
      </c>
      <c r="J37" s="146"/>
      <c r="M37" s="31"/>
    </row>
    <row r="38" spans="2:13" x14ac:dyDescent="0.3">
      <c r="B38" s="102">
        <v>7</v>
      </c>
      <c r="C38" t="s">
        <v>140</v>
      </c>
      <c r="G38" s="59" t="str">
        <f t="shared" si="5"/>
        <v/>
      </c>
      <c r="H38" s="145"/>
      <c r="I38" s="48" t="str">
        <f t="shared" si="6"/>
        <v/>
      </c>
      <c r="J38" s="146"/>
      <c r="M38" s="31"/>
    </row>
    <row r="39" spans="2:13" x14ac:dyDescent="0.3">
      <c r="B39" s="102">
        <v>8</v>
      </c>
      <c r="C39" t="s">
        <v>91</v>
      </c>
      <c r="G39" s="59" t="str">
        <f t="shared" si="5"/>
        <v/>
      </c>
      <c r="H39" s="145"/>
      <c r="I39" s="48" t="str">
        <f t="shared" si="6"/>
        <v/>
      </c>
      <c r="J39" s="138"/>
      <c r="M39" s="31"/>
    </row>
    <row r="40" spans="2:13" x14ac:dyDescent="0.3">
      <c r="B40" s="102">
        <v>9</v>
      </c>
      <c r="C40" s="5" t="s">
        <v>109</v>
      </c>
      <c r="G40" s="59" t="str">
        <f t="shared" si="5"/>
        <v/>
      </c>
      <c r="H40" s="145"/>
      <c r="I40" s="48" t="str">
        <f t="shared" si="6"/>
        <v/>
      </c>
      <c r="J40" s="138"/>
      <c r="M40" s="31"/>
    </row>
    <row r="41" spans="2:13" x14ac:dyDescent="0.3">
      <c r="B41" s="102">
        <v>10</v>
      </c>
      <c r="C41" s="5" t="s">
        <v>104</v>
      </c>
      <c r="G41" s="59" t="str">
        <f t="shared" si="5"/>
        <v/>
      </c>
      <c r="H41" s="145"/>
      <c r="I41" s="48" t="str">
        <f t="shared" si="6"/>
        <v/>
      </c>
      <c r="J41" s="138"/>
      <c r="M41" s="31"/>
    </row>
    <row r="42" spans="2:13" x14ac:dyDescent="0.3">
      <c r="B42" s="102">
        <v>11</v>
      </c>
      <c r="C42" s="5" t="s">
        <v>105</v>
      </c>
      <c r="G42" s="59" t="str">
        <f t="shared" si="5"/>
        <v/>
      </c>
      <c r="H42" s="145"/>
      <c r="I42" s="48" t="str">
        <f t="shared" si="6"/>
        <v/>
      </c>
      <c r="J42" s="146"/>
      <c r="M42" s="31"/>
    </row>
    <row r="43" spans="2:13" x14ac:dyDescent="0.3">
      <c r="B43" s="102">
        <v>12</v>
      </c>
      <c r="C43" s="5" t="s">
        <v>108</v>
      </c>
      <c r="G43" s="59" t="str">
        <f t="shared" si="5"/>
        <v/>
      </c>
      <c r="H43" s="145"/>
      <c r="I43" s="48" t="str">
        <f t="shared" si="6"/>
        <v/>
      </c>
      <c r="J43" s="146"/>
      <c r="M43" s="31"/>
    </row>
    <row r="44" spans="2:13" x14ac:dyDescent="0.3">
      <c r="B44" s="102">
        <v>13</v>
      </c>
      <c r="C44" s="5" t="s">
        <v>106</v>
      </c>
      <c r="G44" s="59" t="str">
        <f t="shared" si="5"/>
        <v/>
      </c>
      <c r="H44" s="145"/>
      <c r="I44" s="48" t="str">
        <f t="shared" si="6"/>
        <v/>
      </c>
      <c r="J44" s="146"/>
      <c r="M44" s="31"/>
    </row>
    <row r="45" spans="2:13" x14ac:dyDescent="0.3">
      <c r="B45" s="102">
        <v>14</v>
      </c>
      <c r="C45" s="5" t="s">
        <v>128</v>
      </c>
      <c r="G45" s="59" t="str">
        <f t="shared" si="5"/>
        <v/>
      </c>
      <c r="H45" s="145"/>
      <c r="I45" s="48" t="str">
        <f t="shared" si="6"/>
        <v/>
      </c>
      <c r="J45" s="146"/>
      <c r="M45" s="31"/>
    </row>
    <row r="46" spans="2:13" x14ac:dyDescent="0.3">
      <c r="B46" s="102">
        <v>15</v>
      </c>
      <c r="C46" s="5" t="s">
        <v>107</v>
      </c>
      <c r="G46" s="59" t="str">
        <f t="shared" si="5"/>
        <v/>
      </c>
      <c r="H46" s="145"/>
      <c r="I46" s="48" t="str">
        <f t="shared" si="6"/>
        <v/>
      </c>
      <c r="J46" s="146"/>
      <c r="M46" s="31"/>
    </row>
    <row r="47" spans="2:13" x14ac:dyDescent="0.3">
      <c r="B47" s="102">
        <v>16</v>
      </c>
      <c r="C47" t="s">
        <v>92</v>
      </c>
      <c r="G47" s="59" t="str">
        <f t="shared" si="5"/>
        <v/>
      </c>
      <c r="H47" s="145"/>
      <c r="I47" s="48" t="str">
        <f t="shared" si="6"/>
        <v/>
      </c>
      <c r="J47" s="146"/>
      <c r="M47" s="31"/>
    </row>
    <row r="48" spans="2:13" x14ac:dyDescent="0.3">
      <c r="B48" s="102">
        <v>17</v>
      </c>
      <c r="C48" t="s">
        <v>129</v>
      </c>
      <c r="G48" s="59" t="str">
        <f t="shared" si="5"/>
        <v/>
      </c>
      <c r="H48" s="145"/>
      <c r="I48" s="48" t="str">
        <f t="shared" si="6"/>
        <v/>
      </c>
      <c r="J48" s="146"/>
      <c r="M48" s="31"/>
    </row>
    <row r="49" spans="2:13" x14ac:dyDescent="0.3">
      <c r="B49" s="102">
        <v>18</v>
      </c>
      <c r="C49" t="s">
        <v>141</v>
      </c>
      <c r="G49" s="59" t="str">
        <f t="shared" si="5"/>
        <v/>
      </c>
      <c r="H49" s="145"/>
      <c r="I49" s="48" t="str">
        <f t="shared" si="6"/>
        <v/>
      </c>
      <c r="J49" s="146"/>
      <c r="M49" s="31"/>
    </row>
    <row r="50" spans="2:13" x14ac:dyDescent="0.3">
      <c r="B50" s="102">
        <v>19</v>
      </c>
      <c r="C50" t="s">
        <v>130</v>
      </c>
      <c r="G50" s="59" t="str">
        <f t="shared" si="5"/>
        <v/>
      </c>
      <c r="H50" s="145"/>
      <c r="I50" s="48" t="str">
        <f t="shared" si="6"/>
        <v/>
      </c>
      <c r="J50" s="138"/>
      <c r="M50" s="31"/>
    </row>
    <row r="51" spans="2:13" x14ac:dyDescent="0.3">
      <c r="B51" s="102">
        <v>20</v>
      </c>
      <c r="C51" t="s">
        <v>131</v>
      </c>
      <c r="G51" s="59" t="str">
        <f t="shared" si="5"/>
        <v/>
      </c>
      <c r="H51" s="145"/>
      <c r="I51" s="48" t="str">
        <f t="shared" si="6"/>
        <v/>
      </c>
      <c r="J51" s="138"/>
      <c r="M51" s="31"/>
    </row>
    <row r="52" spans="2:13" x14ac:dyDescent="0.3">
      <c r="B52" s="102">
        <v>21</v>
      </c>
      <c r="C52" t="s">
        <v>132</v>
      </c>
      <c r="G52" s="59" t="str">
        <f t="shared" si="5"/>
        <v/>
      </c>
      <c r="H52" s="145"/>
      <c r="I52" s="48" t="str">
        <f t="shared" si="6"/>
        <v/>
      </c>
      <c r="J52" s="146"/>
      <c r="M52" s="31"/>
    </row>
    <row r="53" spans="2:13" x14ac:dyDescent="0.3">
      <c r="B53" s="102">
        <v>22</v>
      </c>
      <c r="C53" t="s">
        <v>133</v>
      </c>
      <c r="G53" s="59" t="str">
        <f t="shared" si="5"/>
        <v/>
      </c>
      <c r="H53" s="145"/>
      <c r="I53" s="48" t="str">
        <f t="shared" si="6"/>
        <v/>
      </c>
      <c r="J53" s="138"/>
      <c r="M53" s="31"/>
    </row>
    <row r="54" spans="2:13" x14ac:dyDescent="0.3">
      <c r="B54" s="102">
        <v>23</v>
      </c>
      <c r="C54" t="s">
        <v>134</v>
      </c>
      <c r="G54" s="59" t="str">
        <f t="shared" si="5"/>
        <v/>
      </c>
      <c r="H54" s="146"/>
      <c r="I54" s="48" t="str">
        <f t="shared" si="6"/>
        <v/>
      </c>
      <c r="J54" s="146"/>
      <c r="M54" s="31"/>
    </row>
    <row r="55" spans="2:13" x14ac:dyDescent="0.3">
      <c r="B55" s="102">
        <v>24</v>
      </c>
      <c r="C55" t="s">
        <v>135</v>
      </c>
      <c r="G55" s="59" t="str">
        <f t="shared" si="5"/>
        <v/>
      </c>
      <c r="H55" s="145"/>
      <c r="I55" s="48" t="str">
        <f t="shared" si="6"/>
        <v/>
      </c>
      <c r="J55" s="146"/>
      <c r="M55" s="31"/>
    </row>
    <row r="56" spans="2:13" x14ac:dyDescent="0.3">
      <c r="B56" s="102">
        <v>25</v>
      </c>
      <c r="C56" t="s">
        <v>136</v>
      </c>
      <c r="G56" s="59" t="str">
        <f t="shared" si="5"/>
        <v/>
      </c>
      <c r="H56" s="146"/>
      <c r="I56" s="48" t="str">
        <f t="shared" si="6"/>
        <v/>
      </c>
      <c r="J56" s="146"/>
      <c r="M56" s="31"/>
    </row>
    <row r="57" spans="2:13" x14ac:dyDescent="0.3">
      <c r="B57" s="102">
        <v>26</v>
      </c>
      <c r="C57" s="5" t="s">
        <v>110</v>
      </c>
      <c r="G57" s="53" t="str">
        <f t="shared" si="5"/>
        <v/>
      </c>
      <c r="H57" s="147">
        <f>225*TotalUnits</f>
        <v>0</v>
      </c>
      <c r="I57" s="80" t="str">
        <f t="shared" si="6"/>
        <v/>
      </c>
      <c r="M57" s="31"/>
    </row>
    <row r="58" spans="2:13" x14ac:dyDescent="0.3">
      <c r="B58" s="109">
        <v>27</v>
      </c>
      <c r="C58" s="110" t="s">
        <v>7</v>
      </c>
      <c r="D58" s="110"/>
      <c r="E58" s="110"/>
      <c r="F58" s="110"/>
      <c r="G58" s="127" t="str">
        <f t="shared" si="5"/>
        <v/>
      </c>
      <c r="H58" s="111">
        <f>SUM(H32:H57)</f>
        <v>0</v>
      </c>
      <c r="I58" s="80" t="e">
        <f>+H58/TotalUnits</f>
        <v>#DIV/0!</v>
      </c>
      <c r="J58" s="42"/>
      <c r="K58" s="42"/>
      <c r="L58" s="42"/>
      <c r="M58" s="61"/>
    </row>
    <row r="59" spans="2:13" ht="3" customHeight="1" x14ac:dyDescent="0.3">
      <c r="B59" s="2"/>
      <c r="G59" s="59"/>
      <c r="H59" s="7"/>
      <c r="I59" s="48"/>
    </row>
    <row r="60" spans="2:13" x14ac:dyDescent="0.3">
      <c r="B60" s="104">
        <v>28</v>
      </c>
      <c r="C60" s="28" t="s">
        <v>100</v>
      </c>
      <c r="D60" s="28"/>
      <c r="E60" s="28"/>
      <c r="F60" s="28"/>
      <c r="G60" s="105" t="str">
        <f>+IF(H60&gt;0.01,H60/$H$29,"")</f>
        <v/>
      </c>
      <c r="H60" s="27">
        <f>+H29-H58</f>
        <v>0</v>
      </c>
      <c r="I60" s="106" t="e">
        <f>+H60/TotalUnits</f>
        <v>#DIV/0!</v>
      </c>
      <c r="J60" s="28"/>
      <c r="K60" s="28" t="s">
        <v>118</v>
      </c>
      <c r="L60" s="52"/>
      <c r="M60" s="51"/>
    </row>
    <row r="61" spans="2:13" x14ac:dyDescent="0.3">
      <c r="B61" s="98"/>
      <c r="C61" s="5" t="s">
        <v>160</v>
      </c>
      <c r="D61" s="1"/>
      <c r="E61" s="1"/>
      <c r="F61" s="1" t="s">
        <v>6</v>
      </c>
      <c r="G61" s="1" t="s">
        <v>125</v>
      </c>
      <c r="H61" s="107" t="s">
        <v>142</v>
      </c>
      <c r="I61" s="49" t="s">
        <v>123</v>
      </c>
      <c r="J61" s="1" t="s">
        <v>124</v>
      </c>
      <c r="M61" s="31"/>
    </row>
    <row r="62" spans="2:13" x14ac:dyDescent="0.3">
      <c r="B62" s="102">
        <v>29</v>
      </c>
      <c r="C62" s="5" t="s">
        <v>122</v>
      </c>
      <c r="F62" s="108">
        <v>0.75</v>
      </c>
      <c r="G62" s="54">
        <v>4.4999999999999998E-2</v>
      </c>
      <c r="H62" s="79">
        <f>-PMT(G62/12,12*J62,I62,0)*12</f>
        <v>0</v>
      </c>
      <c r="I62" s="7">
        <f>+F62*J3</f>
        <v>0</v>
      </c>
      <c r="J62" s="2">
        <v>30</v>
      </c>
      <c r="K62" s="5" t="s">
        <v>127</v>
      </c>
      <c r="M62" s="31"/>
    </row>
    <row r="63" spans="2:13" x14ac:dyDescent="0.3">
      <c r="B63" s="109">
        <v>30</v>
      </c>
      <c r="C63" s="110" t="s">
        <v>126</v>
      </c>
      <c r="D63" s="110"/>
      <c r="E63" s="110"/>
      <c r="F63" s="110"/>
      <c r="G63" s="110"/>
      <c r="H63" s="111">
        <f>+H60-H62</f>
        <v>0</v>
      </c>
      <c r="I63" s="125" t="s">
        <v>161</v>
      </c>
      <c r="J63" s="42"/>
      <c r="K63" s="42"/>
      <c r="L63" s="42"/>
      <c r="M63" s="61"/>
    </row>
    <row r="65" spans="2:2" x14ac:dyDescent="0.3">
      <c r="B65" s="5" t="s">
        <v>234</v>
      </c>
    </row>
  </sheetData>
  <mergeCells count="1">
    <mergeCell ref="K3:M7"/>
  </mergeCells>
  <conditionalFormatting sqref="B32:L58">
    <cfRule type="expression" dxfId="1" priority="2" stopIfTrue="1">
      <formula>MOD(ROW(),2)</formula>
    </cfRule>
  </conditionalFormatting>
  <conditionalFormatting sqref="M33:M57">
    <cfRule type="expression" dxfId="0" priority="1" stopIfTrue="1">
      <formula>MOD(ROW(),2)</formula>
    </cfRule>
  </conditionalFormatting>
  <pageMargins left="0.25" right="0.25" top="0.75" bottom="0.75" header="0.3" footer="0.3"/>
  <pageSetup scale="77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U83"/>
  <sheetViews>
    <sheetView showGridLines="0" zoomScale="110" zoomScaleNormal="110" workbookViewId="0">
      <selection activeCell="S47" sqref="S47"/>
    </sheetView>
  </sheetViews>
  <sheetFormatPr defaultRowHeight="15.6" x14ac:dyDescent="0.3"/>
  <cols>
    <col min="1" max="1" width="3.6640625" customWidth="1"/>
    <col min="2" max="2" width="3" customWidth="1"/>
    <col min="3" max="3" width="29" bestFit="1" customWidth="1"/>
    <col min="4" max="4" width="6.77734375" customWidth="1"/>
    <col min="5" max="5" width="14.6640625" customWidth="1"/>
    <col min="6" max="6" width="5.77734375" customWidth="1"/>
    <col min="7" max="8" width="10.6640625" customWidth="1"/>
    <col min="9" max="9" width="11.109375" customWidth="1"/>
    <col min="10" max="11" width="10.6640625" customWidth="1"/>
    <col min="12" max="12" width="12" customWidth="1"/>
    <col min="13" max="13" width="3.6640625" customWidth="1"/>
    <col min="14" max="14" width="1.6640625" customWidth="1"/>
    <col min="15" max="15" width="32.6640625" customWidth="1"/>
    <col min="16" max="16" width="7.6640625" customWidth="1"/>
    <col min="17" max="17" width="12.6640625" bestFit="1" customWidth="1"/>
    <col min="18" max="18" width="2.21875" customWidth="1"/>
    <col min="19" max="19" width="10.33203125" bestFit="1" customWidth="1"/>
    <col min="20" max="20" width="1.6640625" customWidth="1"/>
    <col min="21" max="21" width="12.6640625" bestFit="1" customWidth="1"/>
  </cols>
  <sheetData>
    <row r="1" spans="2:17" x14ac:dyDescent="0.3">
      <c r="G1" s="7"/>
    </row>
    <row r="2" spans="2:17" x14ac:dyDescent="0.3">
      <c r="G2" s="7"/>
    </row>
    <row r="3" spans="2:17" ht="78" x14ac:dyDescent="0.3">
      <c r="B3" s="1" t="s">
        <v>155</v>
      </c>
      <c r="G3" s="8" t="s">
        <v>10</v>
      </c>
      <c r="I3" s="9" t="s">
        <v>177</v>
      </c>
      <c r="L3" s="9" t="s">
        <v>11</v>
      </c>
      <c r="M3" s="5"/>
      <c r="N3" s="1" t="s">
        <v>12</v>
      </c>
    </row>
    <row r="4" spans="2:17" x14ac:dyDescent="0.3">
      <c r="G4" s="10">
        <v>1</v>
      </c>
      <c r="H4" s="10">
        <v>2</v>
      </c>
      <c r="I4" s="10">
        <v>3</v>
      </c>
      <c r="J4" s="10">
        <v>4</v>
      </c>
      <c r="K4" s="10">
        <v>5</v>
      </c>
      <c r="L4" s="11">
        <v>6</v>
      </c>
      <c r="M4" s="11"/>
    </row>
    <row r="5" spans="2:17" x14ac:dyDescent="0.3">
      <c r="B5" s="41" t="s">
        <v>80</v>
      </c>
      <c r="C5" t="str">
        <f>+'Financial Model'!C24</f>
        <v>Total Annual Market Rent =</v>
      </c>
      <c r="D5" s="66">
        <v>0.03</v>
      </c>
      <c r="E5" s="5" t="s">
        <v>13</v>
      </c>
      <c r="F5" s="5"/>
      <c r="G5" s="67">
        <f>+'Financial Model'!J24</f>
        <v>0</v>
      </c>
      <c r="H5" s="7">
        <f>+(1+$D5)*G5</f>
        <v>0</v>
      </c>
      <c r="I5" s="7">
        <f>+(1+$D5)*H5</f>
        <v>0</v>
      </c>
      <c r="J5" s="7">
        <f>+(1+$D5)*I5</f>
        <v>0</v>
      </c>
      <c r="K5" s="7">
        <f>+(1+$D5)*J5</f>
        <v>0</v>
      </c>
      <c r="L5" s="12">
        <f>+(1+$D5)*K5</f>
        <v>0</v>
      </c>
      <c r="M5" s="12"/>
      <c r="N5" s="1" t="s">
        <v>14</v>
      </c>
    </row>
    <row r="6" spans="2:17" x14ac:dyDescent="0.3">
      <c r="B6" s="2"/>
      <c r="C6" t="s">
        <v>2</v>
      </c>
      <c r="D6" s="66" t="e">
        <f>+G6/G5</f>
        <v>#DIV/0!</v>
      </c>
      <c r="G6" s="68">
        <f>+G5-G7</f>
        <v>0</v>
      </c>
      <c r="H6" s="13" t="e">
        <f>+$D6*H5</f>
        <v>#DIV/0!</v>
      </c>
      <c r="I6" s="13" t="e">
        <f>+$D6*I5</f>
        <v>#DIV/0!</v>
      </c>
      <c r="J6" s="13" t="e">
        <f>+$D6*J5</f>
        <v>#DIV/0!</v>
      </c>
      <c r="K6" s="13" t="e">
        <f>+$D6*K5</f>
        <v>#DIV/0!</v>
      </c>
      <c r="L6" s="14" t="e">
        <f>+$D6*L5</f>
        <v>#DIV/0!</v>
      </c>
      <c r="M6" s="12"/>
      <c r="N6">
        <v>1</v>
      </c>
      <c r="O6" s="5" t="s">
        <v>15</v>
      </c>
      <c r="Q6" s="7">
        <f>+E39</f>
        <v>0</v>
      </c>
    </row>
    <row r="7" spans="2:17" x14ac:dyDescent="0.3">
      <c r="B7" s="41" t="s">
        <v>81</v>
      </c>
      <c r="C7" t="str">
        <f>+'Financial Model'!C25</f>
        <v>Total Street Rent Total =</v>
      </c>
      <c r="D7" s="15"/>
      <c r="G7" s="37">
        <f>+'Financial Model'!P21</f>
        <v>0</v>
      </c>
      <c r="H7" s="7" t="e">
        <f>+H5-H6</f>
        <v>#DIV/0!</v>
      </c>
      <c r="I7" s="7" t="e">
        <f>+I5-I6</f>
        <v>#DIV/0!</v>
      </c>
      <c r="J7" s="7" t="e">
        <f>+J5-J6</f>
        <v>#DIV/0!</v>
      </c>
      <c r="K7" s="7" t="e">
        <f>+K5-K6</f>
        <v>#DIV/0!</v>
      </c>
      <c r="L7" s="12" t="e">
        <f>+L5-L6</f>
        <v>#DIV/0!</v>
      </c>
      <c r="M7" s="12"/>
      <c r="N7">
        <v>2</v>
      </c>
      <c r="O7" s="6" t="s">
        <v>16</v>
      </c>
      <c r="Q7" s="37">
        <v>0</v>
      </c>
    </row>
    <row r="8" spans="2:17" x14ac:dyDescent="0.3">
      <c r="B8" s="2"/>
      <c r="C8" t="s">
        <v>3</v>
      </c>
      <c r="D8" s="66" t="e">
        <f>+G8/G7</f>
        <v>#DIV/0!</v>
      </c>
      <c r="G8" s="68">
        <f>+G7-G9</f>
        <v>0</v>
      </c>
      <c r="H8" s="13" t="e">
        <f>+$D8*H7</f>
        <v>#DIV/0!</v>
      </c>
      <c r="I8" s="168">
        <v>0</v>
      </c>
      <c r="J8" s="168">
        <v>0</v>
      </c>
      <c r="K8" s="168">
        <v>0</v>
      </c>
      <c r="L8" s="14">
        <v>0</v>
      </c>
      <c r="M8" s="12"/>
      <c r="N8">
        <v>3</v>
      </c>
      <c r="O8" s="6" t="s">
        <v>17</v>
      </c>
      <c r="Q8" s="13">
        <f>+SUM(G22:K22)</f>
        <v>0</v>
      </c>
    </row>
    <row r="9" spans="2:17" x14ac:dyDescent="0.3">
      <c r="B9" s="41" t="s">
        <v>82</v>
      </c>
      <c r="C9" t="str">
        <f>+'Financial Model'!C26</f>
        <v>Total Current Rental Income =</v>
      </c>
      <c r="D9" s="15"/>
      <c r="G9" s="37">
        <f>+'Financial Model'!O21</f>
        <v>0</v>
      </c>
      <c r="H9" s="7" t="e">
        <f>+H7-H8</f>
        <v>#DIV/0!</v>
      </c>
      <c r="I9" s="7" t="e">
        <f>+I7-I8</f>
        <v>#DIV/0!</v>
      </c>
      <c r="J9" s="7" t="e">
        <f>+J7-J8</f>
        <v>#DIV/0!</v>
      </c>
      <c r="K9" s="7" t="e">
        <f>+K7-K8</f>
        <v>#DIV/0!</v>
      </c>
      <c r="L9" s="12" t="e">
        <f>+L7-L8</f>
        <v>#DIV/0!</v>
      </c>
      <c r="M9" s="12"/>
      <c r="N9">
        <v>4</v>
      </c>
      <c r="O9" s="6" t="s">
        <v>18</v>
      </c>
      <c r="Q9" s="7">
        <f>+Q6+Q7-Q8</f>
        <v>0</v>
      </c>
    </row>
    <row r="10" spans="2:17" x14ac:dyDescent="0.3">
      <c r="B10" s="2"/>
      <c r="C10" t="s">
        <v>4</v>
      </c>
      <c r="D10" s="66">
        <v>5.6000000000000001E-2</v>
      </c>
      <c r="G10" s="68">
        <f>+D10*G9</f>
        <v>0</v>
      </c>
      <c r="H10" s="13" t="e">
        <f>+$D10*H9</f>
        <v>#DIV/0!</v>
      </c>
      <c r="I10" s="13" t="e">
        <f>+$D10*I9</f>
        <v>#DIV/0!</v>
      </c>
      <c r="J10" s="13" t="e">
        <f>+$D10*J9</f>
        <v>#DIV/0!</v>
      </c>
      <c r="K10" s="13" t="e">
        <f>+$D10*K9</f>
        <v>#DIV/0!</v>
      </c>
      <c r="L10" s="14" t="e">
        <f>+$D10*L9</f>
        <v>#DIV/0!</v>
      </c>
      <c r="M10" s="12"/>
    </row>
    <row r="11" spans="2:17" x14ac:dyDescent="0.3">
      <c r="B11" s="41" t="s">
        <v>83</v>
      </c>
      <c r="C11" t="s">
        <v>1</v>
      </c>
      <c r="D11" s="15"/>
      <c r="G11" s="37">
        <f t="shared" ref="G11:L11" si="0">+G9-G10</f>
        <v>0</v>
      </c>
      <c r="H11" s="7" t="e">
        <f t="shared" si="0"/>
        <v>#DIV/0!</v>
      </c>
      <c r="I11" s="7" t="e">
        <f t="shared" si="0"/>
        <v>#DIV/0!</v>
      </c>
      <c r="J11" s="7" t="e">
        <f t="shared" si="0"/>
        <v>#DIV/0!</v>
      </c>
      <c r="K11" s="7" t="e">
        <f t="shared" si="0"/>
        <v>#DIV/0!</v>
      </c>
      <c r="L11" s="12" t="e">
        <f t="shared" si="0"/>
        <v>#DIV/0!</v>
      </c>
      <c r="M11" s="12"/>
      <c r="N11" s="1" t="s">
        <v>19</v>
      </c>
    </row>
    <row r="12" spans="2:17" x14ac:dyDescent="0.3">
      <c r="B12" s="41" t="s">
        <v>85</v>
      </c>
      <c r="C12" t="s">
        <v>0</v>
      </c>
      <c r="D12" s="66">
        <v>0.02</v>
      </c>
      <c r="E12" s="5" t="s">
        <v>13</v>
      </c>
      <c r="F12" s="5"/>
      <c r="G12" s="68">
        <f>+D12*G11</f>
        <v>0</v>
      </c>
      <c r="H12" s="13">
        <f>+(1+$D12)*G12</f>
        <v>0</v>
      </c>
      <c r="I12" s="13">
        <f>+(1+$D12)*H12</f>
        <v>0</v>
      </c>
      <c r="J12" s="13">
        <f>+(1+$D12)*I12</f>
        <v>0</v>
      </c>
      <c r="K12" s="13">
        <f>+(1+$D12)*J12</f>
        <v>0</v>
      </c>
      <c r="L12" s="14">
        <f>+(1+$D12)*K12</f>
        <v>0</v>
      </c>
      <c r="M12" s="12"/>
      <c r="O12" s="5" t="s">
        <v>20</v>
      </c>
      <c r="P12" s="150" t="e">
        <f>+'Financial Model'!H4</f>
        <v>#DIV/0!</v>
      </c>
      <c r="Q12" s="169" t="s">
        <v>165</v>
      </c>
    </row>
    <row r="13" spans="2:17" x14ac:dyDescent="0.3">
      <c r="B13" s="41" t="s">
        <v>86</v>
      </c>
      <c r="C13" t="s">
        <v>9</v>
      </c>
      <c r="D13" s="15"/>
      <c r="G13" s="37">
        <f>+'Financial Model'!H29</f>
        <v>0</v>
      </c>
      <c r="H13" s="7" t="e">
        <f>+H11+H12</f>
        <v>#DIV/0!</v>
      </c>
      <c r="I13" s="7" t="e">
        <f>+I11+I12</f>
        <v>#DIV/0!</v>
      </c>
      <c r="J13" s="7" t="e">
        <f>+J11+J12</f>
        <v>#DIV/0!</v>
      </c>
      <c r="K13" s="7" t="e">
        <f>+K11+K12</f>
        <v>#DIV/0!</v>
      </c>
      <c r="L13" s="12" t="e">
        <f>+L11+L12</f>
        <v>#DIV/0!</v>
      </c>
      <c r="M13" s="12"/>
      <c r="N13">
        <v>5</v>
      </c>
      <c r="O13" s="5" t="s">
        <v>21</v>
      </c>
      <c r="P13" s="15"/>
      <c r="Q13" s="7" t="e">
        <f>+L16/P12</f>
        <v>#DIV/0!</v>
      </c>
    </row>
    <row r="14" spans="2:17" x14ac:dyDescent="0.3">
      <c r="B14" s="2"/>
      <c r="D14" s="15"/>
      <c r="G14" s="7"/>
      <c r="H14" s="7"/>
      <c r="I14" s="7"/>
      <c r="J14" s="7"/>
      <c r="K14" s="7"/>
      <c r="L14" s="12"/>
      <c r="M14" s="12"/>
      <c r="N14">
        <v>6</v>
      </c>
      <c r="O14" s="6" t="s">
        <v>22</v>
      </c>
      <c r="P14" s="150">
        <v>0.08</v>
      </c>
      <c r="Q14" s="7" t="e">
        <f>+P14*Q13</f>
        <v>#DIV/0!</v>
      </c>
    </row>
    <row r="15" spans="2:17" x14ac:dyDescent="0.3">
      <c r="B15" s="2">
        <v>27</v>
      </c>
      <c r="C15" t="s">
        <v>7</v>
      </c>
      <c r="D15" s="66">
        <v>1.4999999999999999E-2</v>
      </c>
      <c r="E15" s="5" t="s">
        <v>13</v>
      </c>
      <c r="G15" s="69">
        <f>+'Financial Model'!H58</f>
        <v>0</v>
      </c>
      <c r="H15" s="13">
        <f>+(1+$D15)*G15</f>
        <v>0</v>
      </c>
      <c r="I15" s="13">
        <f>+(1+$D15)*H15</f>
        <v>0</v>
      </c>
      <c r="J15" s="13">
        <f>+(1+$D15)*I15</f>
        <v>0</v>
      </c>
      <c r="K15" s="13">
        <f>+(1+$D15)*J15</f>
        <v>0</v>
      </c>
      <c r="L15" s="14">
        <f>+(1+$D15)*K15</f>
        <v>0</v>
      </c>
      <c r="M15" s="12"/>
      <c r="N15">
        <v>7</v>
      </c>
      <c r="O15" s="6" t="s">
        <v>23</v>
      </c>
      <c r="P15" s="15"/>
      <c r="Q15" s="13">
        <f>+Q9</f>
        <v>0</v>
      </c>
    </row>
    <row r="16" spans="2:17" x14ac:dyDescent="0.3">
      <c r="B16" s="2">
        <v>28</v>
      </c>
      <c r="C16" s="1" t="s">
        <v>8</v>
      </c>
      <c r="D16" s="15"/>
      <c r="G16" s="7">
        <f t="shared" ref="G16:L16" si="1">+G13-G15</f>
        <v>0</v>
      </c>
      <c r="H16" s="7" t="e">
        <f t="shared" si="1"/>
        <v>#DIV/0!</v>
      </c>
      <c r="I16" s="7" t="e">
        <f t="shared" si="1"/>
        <v>#DIV/0!</v>
      </c>
      <c r="J16" s="7" t="e">
        <f t="shared" si="1"/>
        <v>#DIV/0!</v>
      </c>
      <c r="K16" s="7" t="e">
        <f t="shared" si="1"/>
        <v>#DIV/0!</v>
      </c>
      <c r="L16" s="12" t="e">
        <f t="shared" si="1"/>
        <v>#DIV/0!</v>
      </c>
      <c r="M16" s="12"/>
      <c r="N16">
        <v>8</v>
      </c>
      <c r="O16" s="6" t="s">
        <v>24</v>
      </c>
      <c r="P16" s="15"/>
      <c r="Q16" s="7" t="e">
        <f>+Q13-Q14-Q15</f>
        <v>#DIV/0!</v>
      </c>
    </row>
    <row r="17" spans="2:21" x14ac:dyDescent="0.3">
      <c r="B17" s="2"/>
      <c r="H17" s="7"/>
      <c r="I17" s="7"/>
      <c r="J17" s="7"/>
      <c r="K17" s="7"/>
      <c r="L17" s="7"/>
      <c r="M17" s="7"/>
      <c r="N17">
        <v>9</v>
      </c>
      <c r="O17" s="6" t="s">
        <v>25</v>
      </c>
      <c r="P17" s="15"/>
      <c r="Q17" s="13">
        <f>+Q8</f>
        <v>0</v>
      </c>
    </row>
    <row r="18" spans="2:21" x14ac:dyDescent="0.3">
      <c r="B18" s="2"/>
      <c r="C18" s="5" t="s">
        <v>26</v>
      </c>
      <c r="G18" s="16">
        <f>-FV($E$42/12,12*G4,-$I$42,$E$41,0)</f>
        <v>0</v>
      </c>
      <c r="H18" s="16">
        <f>-FV($E$42/12,12*H4,-$I$42,$E$41,0)</f>
        <v>0</v>
      </c>
      <c r="I18" s="16">
        <f>-FV($E$42/12,12*I4,-$I$42,$E$41,0)</f>
        <v>0</v>
      </c>
      <c r="J18" s="16">
        <f>-FV($E$42/12,12*J4,-$I$42,$E$41,0)</f>
        <v>0</v>
      </c>
      <c r="K18" s="16">
        <f>-FV($E$42/12,12*K4,-$I$42,$E$41,0)</f>
        <v>0</v>
      </c>
      <c r="L18" s="16"/>
      <c r="M18" s="16"/>
      <c r="N18">
        <v>10</v>
      </c>
      <c r="O18" s="6" t="s">
        <v>27</v>
      </c>
      <c r="P18" s="15"/>
      <c r="Q18" s="7" t="e">
        <f>+Q16-Q17</f>
        <v>#DIV/0!</v>
      </c>
    </row>
    <row r="19" spans="2:21" x14ac:dyDescent="0.3">
      <c r="B19" s="2">
        <v>29</v>
      </c>
      <c r="C19" s="5" t="s">
        <v>5</v>
      </c>
      <c r="G19" s="7">
        <f>+I43</f>
        <v>0</v>
      </c>
      <c r="H19" s="7">
        <f>+G19</f>
        <v>0</v>
      </c>
      <c r="I19" s="7">
        <f>+H19</f>
        <v>0</v>
      </c>
      <c r="J19" s="7">
        <f>+I19</f>
        <v>0</v>
      </c>
      <c r="K19" s="7">
        <f>+J19</f>
        <v>0</v>
      </c>
      <c r="L19" s="7"/>
      <c r="M19" s="7"/>
      <c r="O19" s="6"/>
      <c r="P19" s="15"/>
      <c r="Q19" s="7"/>
    </row>
    <row r="20" spans="2:21" x14ac:dyDescent="0.3">
      <c r="B20" s="45" t="s">
        <v>28</v>
      </c>
      <c r="C20" s="5" t="s">
        <v>29</v>
      </c>
      <c r="G20" s="17">
        <f>+E41-'5year+sale'!G18</f>
        <v>0</v>
      </c>
      <c r="H20" s="13">
        <f>+G18-H18</f>
        <v>0</v>
      </c>
      <c r="I20" s="13">
        <f>+H18-I18</f>
        <v>0</v>
      </c>
      <c r="J20" s="13">
        <f>+I18-J18</f>
        <v>0</v>
      </c>
      <c r="K20" s="13">
        <f>+J18-K18</f>
        <v>0</v>
      </c>
      <c r="L20" s="7"/>
      <c r="M20" s="7"/>
      <c r="N20" s="1" t="s">
        <v>30</v>
      </c>
      <c r="P20" s="15"/>
    </row>
    <row r="21" spans="2:21" x14ac:dyDescent="0.3">
      <c r="B21" s="45" t="s">
        <v>31</v>
      </c>
      <c r="C21" s="5" t="s">
        <v>32</v>
      </c>
      <c r="G21" s="7">
        <f>+G19-G20</f>
        <v>0</v>
      </c>
      <c r="H21" s="7">
        <f>+H19-H20</f>
        <v>0</v>
      </c>
      <c r="I21" s="7">
        <f>+I19-I20</f>
        <v>0</v>
      </c>
      <c r="J21" s="7">
        <f>+J19-J20</f>
        <v>0</v>
      </c>
      <c r="K21" s="7">
        <f>+K19-K20</f>
        <v>0</v>
      </c>
      <c r="L21" s="7"/>
      <c r="M21" s="7"/>
      <c r="N21">
        <v>11</v>
      </c>
      <c r="O21" s="5" t="s">
        <v>33</v>
      </c>
      <c r="P21" s="15"/>
      <c r="Q21" s="7" t="e">
        <f>+Q13</f>
        <v>#DIV/0!</v>
      </c>
    </row>
    <row r="22" spans="2:21" x14ac:dyDescent="0.3">
      <c r="B22" s="45" t="s">
        <v>28</v>
      </c>
      <c r="C22" s="5" t="s">
        <v>34</v>
      </c>
      <c r="D22" s="148">
        <v>27.5</v>
      </c>
      <c r="E22" s="5" t="s">
        <v>35</v>
      </c>
      <c r="F22" s="149">
        <v>0.8</v>
      </c>
      <c r="G22" s="7">
        <f>+price*$F$22/$D$22</f>
        <v>0</v>
      </c>
      <c r="H22" s="7">
        <f>+price*$F$22/$D$22</f>
        <v>0</v>
      </c>
      <c r="I22" s="7">
        <f>+price*$F$22/$D$22</f>
        <v>0</v>
      </c>
      <c r="J22" s="7">
        <f>+price*$F$22/$D$22</f>
        <v>0</v>
      </c>
      <c r="K22" s="7">
        <f>+price*$F$22/$D$22</f>
        <v>0</v>
      </c>
      <c r="L22" s="5" t="s">
        <v>69</v>
      </c>
      <c r="M22" s="5"/>
      <c r="N22">
        <v>12</v>
      </c>
      <c r="O22" s="6" t="s">
        <v>36</v>
      </c>
      <c r="P22" s="15"/>
      <c r="Q22" s="7" t="e">
        <f>+Q14</f>
        <v>#DIV/0!</v>
      </c>
    </row>
    <row r="23" spans="2:21" x14ac:dyDescent="0.3">
      <c r="B23" s="45" t="s">
        <v>31</v>
      </c>
      <c r="C23" t="s">
        <v>37</v>
      </c>
      <c r="E23" s="5"/>
      <c r="F23" s="5"/>
      <c r="G23" s="7">
        <f>+G16-G21-G22</f>
        <v>0</v>
      </c>
      <c r="H23" s="7" t="e">
        <f>+H16-H21-H22</f>
        <v>#DIV/0!</v>
      </c>
      <c r="I23" s="7" t="e">
        <f>+I16-I21-I22</f>
        <v>#DIV/0!</v>
      </c>
      <c r="J23" s="7" t="e">
        <f>+J16-J21-J22</f>
        <v>#DIV/0!</v>
      </c>
      <c r="K23" s="7" t="e">
        <f>+K16-K21-K22</f>
        <v>#DIV/0!</v>
      </c>
      <c r="L23" s="7"/>
      <c r="M23" s="7"/>
      <c r="N23">
        <v>13</v>
      </c>
      <c r="O23" s="6" t="s">
        <v>38</v>
      </c>
      <c r="P23" s="15"/>
      <c r="Q23" s="13">
        <f>+K18</f>
        <v>0</v>
      </c>
    </row>
    <row r="24" spans="2:21" x14ac:dyDescent="0.3">
      <c r="B24" s="2"/>
      <c r="C24" s="5" t="s">
        <v>39</v>
      </c>
      <c r="F24" s="149">
        <v>0.35</v>
      </c>
      <c r="G24" s="7">
        <f>IF(G23&gt;0.01,$F$24*G23,0)</f>
        <v>0</v>
      </c>
      <c r="H24" s="7" t="e">
        <f>IF(H23&gt;0.01,$F$24*H23,0)</f>
        <v>#DIV/0!</v>
      </c>
      <c r="I24" s="7" t="e">
        <f>IF(I23&gt;0.01,$F$24*I23,0)</f>
        <v>#DIV/0!</v>
      </c>
      <c r="J24" s="7" t="e">
        <f>IF(J23&gt;0.01,$F$24*J23,0)</f>
        <v>#DIV/0!</v>
      </c>
      <c r="K24" s="7" t="e">
        <f>IF(K23&gt;0.01,$F$24*K23,0)</f>
        <v>#DIV/0!</v>
      </c>
      <c r="L24" s="7"/>
      <c r="M24" s="7"/>
      <c r="N24">
        <v>14</v>
      </c>
      <c r="O24" s="18" t="s">
        <v>40</v>
      </c>
      <c r="P24" s="15"/>
      <c r="Q24" s="7" t="e">
        <f>+Q21-Q22-Q23</f>
        <v>#DIV/0!</v>
      </c>
    </row>
    <row r="25" spans="2:21" x14ac:dyDescent="0.3">
      <c r="B25" s="2"/>
      <c r="C25" s="5"/>
      <c r="G25" s="7"/>
      <c r="H25" s="7"/>
      <c r="I25" s="7"/>
      <c r="J25" s="7"/>
      <c r="K25" s="7"/>
      <c r="L25" s="7"/>
      <c r="M25" s="7"/>
      <c r="N25">
        <v>16</v>
      </c>
      <c r="O25" s="6" t="s">
        <v>41</v>
      </c>
      <c r="P25" s="150">
        <v>0.25</v>
      </c>
      <c r="Q25" s="7">
        <f>+P25*Q17</f>
        <v>0</v>
      </c>
    </row>
    <row r="26" spans="2:21" x14ac:dyDescent="0.3">
      <c r="B26" s="2"/>
      <c r="C26" s="5" t="s">
        <v>42</v>
      </c>
      <c r="G26" s="7">
        <f>+G16</f>
        <v>0</v>
      </c>
      <c r="H26" s="7" t="e">
        <f>+H16</f>
        <v>#DIV/0!</v>
      </c>
      <c r="I26" s="7" t="e">
        <f>+I16</f>
        <v>#DIV/0!</v>
      </c>
      <c r="J26" s="7" t="e">
        <f>+J16</f>
        <v>#DIV/0!</v>
      </c>
      <c r="K26" s="7" t="e">
        <f>+K16</f>
        <v>#DIV/0!</v>
      </c>
      <c r="L26" s="7"/>
      <c r="M26" s="7"/>
      <c r="N26">
        <v>17</v>
      </c>
      <c r="O26" s="6" t="s">
        <v>43</v>
      </c>
      <c r="P26" s="150">
        <v>0.2</v>
      </c>
      <c r="Q26" s="13" t="e">
        <f>+P26*Q18</f>
        <v>#DIV/0!</v>
      </c>
    </row>
    <row r="27" spans="2:21" x14ac:dyDescent="0.3">
      <c r="B27" s="45" t="s">
        <v>28</v>
      </c>
      <c r="C27" s="5" t="s">
        <v>44</v>
      </c>
      <c r="G27" s="13">
        <f>+G19</f>
        <v>0</v>
      </c>
      <c r="H27" s="13">
        <f>+H19</f>
        <v>0</v>
      </c>
      <c r="I27" s="13">
        <f>+I19</f>
        <v>0</v>
      </c>
      <c r="J27" s="13">
        <f>+J19</f>
        <v>0</v>
      </c>
      <c r="K27" s="13">
        <f>+K19</f>
        <v>0</v>
      </c>
      <c r="L27" s="7"/>
      <c r="M27" s="7"/>
      <c r="N27">
        <v>18</v>
      </c>
      <c r="O27" s="18" t="s">
        <v>45</v>
      </c>
      <c r="Q27" s="7" t="e">
        <f>+Q24-Q25-Q26</f>
        <v>#DIV/0!</v>
      </c>
    </row>
    <row r="28" spans="2:21" x14ac:dyDescent="0.3">
      <c r="B28" s="73" t="s">
        <v>31</v>
      </c>
      <c r="C28" s="1" t="s">
        <v>46</v>
      </c>
      <c r="G28" s="7">
        <f>+G26-G27</f>
        <v>0</v>
      </c>
      <c r="H28" s="7" t="e">
        <f>+H26-H27</f>
        <v>#DIV/0!</v>
      </c>
      <c r="I28" s="7" t="e">
        <f>+I26-I27</f>
        <v>#DIV/0!</v>
      </c>
      <c r="J28" s="7" t="e">
        <f>+J26-J27</f>
        <v>#DIV/0!</v>
      </c>
      <c r="K28" s="7" t="e">
        <f>+K26-K27</f>
        <v>#DIV/0!</v>
      </c>
      <c r="L28" s="7"/>
      <c r="M28" s="7"/>
      <c r="O28" s="18"/>
      <c r="Q28" s="7"/>
      <c r="U28" s="5" t="s">
        <v>62</v>
      </c>
    </row>
    <row r="29" spans="2:21" x14ac:dyDescent="0.3">
      <c r="B29" s="45" t="s">
        <v>28</v>
      </c>
      <c r="C29" s="5" t="s">
        <v>47</v>
      </c>
      <c r="G29" s="13">
        <f>+G24</f>
        <v>0</v>
      </c>
      <c r="H29" s="13" t="e">
        <f>+H24</f>
        <v>#DIV/0!</v>
      </c>
      <c r="I29" s="13" t="e">
        <f>+I24</f>
        <v>#DIV/0!</v>
      </c>
      <c r="J29" s="13" t="e">
        <f>+J24</f>
        <v>#DIV/0!</v>
      </c>
      <c r="K29" s="13" t="e">
        <f>+K24</f>
        <v>#DIV/0!</v>
      </c>
      <c r="L29" s="7"/>
      <c r="M29" s="7"/>
      <c r="P29" s="26" t="s">
        <v>49</v>
      </c>
      <c r="Q29" s="27"/>
      <c r="R29" s="28"/>
      <c r="S29" s="29" t="e">
        <f>IRR(U31:U36)</f>
        <v>#VALUE!</v>
      </c>
      <c r="U29" s="5" t="s">
        <v>50</v>
      </c>
    </row>
    <row r="30" spans="2:21" x14ac:dyDescent="0.3">
      <c r="B30" s="45" t="s">
        <v>31</v>
      </c>
      <c r="C30" s="1" t="s">
        <v>48</v>
      </c>
      <c r="G30" s="7">
        <f>+G28-G29</f>
        <v>0</v>
      </c>
      <c r="H30" s="7" t="e">
        <f>+H28-H29</f>
        <v>#DIV/0!</v>
      </c>
      <c r="I30" s="7" t="e">
        <f>+I28-I29</f>
        <v>#DIV/0!</v>
      </c>
      <c r="J30" s="7" t="e">
        <f>+J28-J29</f>
        <v>#DIV/0!</v>
      </c>
      <c r="K30" s="7" t="e">
        <f>+K28-K29</f>
        <v>#DIV/0!</v>
      </c>
      <c r="L30" s="7"/>
      <c r="M30" s="7"/>
      <c r="O30" s="1" t="s">
        <v>63</v>
      </c>
      <c r="P30" s="30" t="s">
        <v>51</v>
      </c>
      <c r="Q30" s="19" t="s">
        <v>52</v>
      </c>
      <c r="S30" s="31"/>
    </row>
    <row r="31" spans="2:21" x14ac:dyDescent="0.3">
      <c r="B31" s="6"/>
      <c r="C31" s="5"/>
      <c r="G31" s="7"/>
      <c r="H31" s="7"/>
      <c r="I31" s="7"/>
      <c r="J31" s="7"/>
      <c r="K31" s="7"/>
      <c r="L31" s="7"/>
      <c r="M31" s="7"/>
      <c r="P31" s="32">
        <v>0</v>
      </c>
      <c r="Q31" s="20">
        <f>-price</f>
        <v>0</v>
      </c>
      <c r="S31" s="31"/>
      <c r="U31" s="3">
        <f>+Q31</f>
        <v>0</v>
      </c>
    </row>
    <row r="32" spans="2:21" x14ac:dyDescent="0.3">
      <c r="B32" s="6"/>
      <c r="C32" s="5"/>
      <c r="G32" s="7"/>
      <c r="H32" s="7"/>
      <c r="I32" s="7"/>
      <c r="J32" s="7"/>
      <c r="K32" s="7"/>
      <c r="L32" s="7"/>
      <c r="M32" s="7"/>
      <c r="P32" s="32">
        <v>1</v>
      </c>
      <c r="Q32" s="21">
        <f>+G16</f>
        <v>0</v>
      </c>
      <c r="S32" s="31"/>
      <c r="U32" s="3">
        <f>+Q32</f>
        <v>0</v>
      </c>
    </row>
    <row r="33" spans="2:21" x14ac:dyDescent="0.3">
      <c r="B33" s="6"/>
      <c r="C33" s="5"/>
      <c r="G33" s="7"/>
      <c r="H33" s="7"/>
      <c r="I33" s="7"/>
      <c r="J33" s="7"/>
      <c r="K33" s="7"/>
      <c r="L33" s="7"/>
      <c r="M33" s="7"/>
      <c r="P33" s="32">
        <v>2</v>
      </c>
      <c r="Q33" s="21" t="e">
        <f>+H16</f>
        <v>#DIV/0!</v>
      </c>
      <c r="S33" s="31"/>
      <c r="U33" s="3" t="e">
        <f>+Q33</f>
        <v>#DIV/0!</v>
      </c>
    </row>
    <row r="34" spans="2:21" x14ac:dyDescent="0.3">
      <c r="B34" s="6"/>
      <c r="C34" s="5"/>
      <c r="G34" s="7"/>
      <c r="H34" s="7"/>
      <c r="I34" s="7"/>
      <c r="J34" s="7"/>
      <c r="K34" s="7"/>
      <c r="L34" s="7"/>
      <c r="M34" s="7"/>
      <c r="P34" s="32">
        <v>3</v>
      </c>
      <c r="Q34" s="21" t="e">
        <f>+I16</f>
        <v>#DIV/0!</v>
      </c>
      <c r="S34" s="31"/>
      <c r="U34" s="3" t="e">
        <f>+Q34</f>
        <v>#DIV/0!</v>
      </c>
    </row>
    <row r="35" spans="2:21" x14ac:dyDescent="0.3">
      <c r="B35" s="6"/>
      <c r="C35" s="5"/>
      <c r="G35" s="7"/>
      <c r="H35" s="7"/>
      <c r="I35" s="7"/>
      <c r="J35" s="7"/>
      <c r="K35" s="7"/>
      <c r="L35" s="7"/>
      <c r="M35" s="7"/>
      <c r="P35" s="32">
        <v>4</v>
      </c>
      <c r="Q35" s="21" t="e">
        <f>+J16</f>
        <v>#DIV/0!</v>
      </c>
      <c r="S35" s="31"/>
      <c r="U35" s="3" t="e">
        <f>+Q35</f>
        <v>#DIV/0!</v>
      </c>
    </row>
    <row r="36" spans="2:21" x14ac:dyDescent="0.3">
      <c r="B36" s="6"/>
      <c r="C36" s="5"/>
      <c r="G36" s="7"/>
      <c r="H36" s="7"/>
      <c r="I36" s="7"/>
      <c r="J36" s="7"/>
      <c r="K36" s="7"/>
      <c r="L36" s="7"/>
      <c r="M36" s="7"/>
      <c r="P36" s="33">
        <v>5</v>
      </c>
      <c r="Q36" s="34" t="e">
        <f>+K16</f>
        <v>#DIV/0!</v>
      </c>
      <c r="R36" s="35" t="s">
        <v>53</v>
      </c>
      <c r="S36" s="36" t="e">
        <f>+Q24+Q23</f>
        <v>#DIV/0!</v>
      </c>
      <c r="U36" s="3" t="e">
        <f>+Q36+S36</f>
        <v>#DIV/0!</v>
      </c>
    </row>
    <row r="37" spans="2:21" ht="3" customHeight="1" x14ac:dyDescent="0.3">
      <c r="B37" s="6"/>
      <c r="C37" s="5"/>
      <c r="G37" s="7"/>
      <c r="H37" s="7"/>
      <c r="I37" s="7"/>
      <c r="J37" s="7"/>
      <c r="K37" s="7"/>
      <c r="L37" s="7"/>
      <c r="M37" s="7"/>
      <c r="Q37" s="7"/>
      <c r="U37" s="5"/>
    </row>
    <row r="38" spans="2:21" x14ac:dyDescent="0.3">
      <c r="C38" s="1" t="s">
        <v>56</v>
      </c>
      <c r="G38" s="7"/>
      <c r="L38" s="7"/>
      <c r="M38" s="7"/>
      <c r="O38" s="1" t="s">
        <v>64</v>
      </c>
      <c r="P38" s="26" t="s">
        <v>49</v>
      </c>
      <c r="Q38" s="27"/>
      <c r="R38" s="28"/>
      <c r="S38" s="29" t="e">
        <f>IRR(U40:U45)</f>
        <v>#VALUE!</v>
      </c>
      <c r="U38" s="5" t="s">
        <v>50</v>
      </c>
    </row>
    <row r="39" spans="2:21" x14ac:dyDescent="0.3">
      <c r="C39" s="5" t="s">
        <v>57</v>
      </c>
      <c r="E39" s="70">
        <f>+'Financial Model'!J3</f>
        <v>0</v>
      </c>
      <c r="G39" s="7"/>
      <c r="N39" s="5"/>
      <c r="O39" s="1"/>
      <c r="P39" s="30" t="s">
        <v>51</v>
      </c>
      <c r="Q39" s="19" t="s">
        <v>52</v>
      </c>
      <c r="S39" s="31"/>
    </row>
    <row r="40" spans="2:21" x14ac:dyDescent="0.3">
      <c r="C40" s="5" t="s">
        <v>6</v>
      </c>
      <c r="E40" s="71">
        <f>+'Financial Model'!F62</f>
        <v>0.75</v>
      </c>
      <c r="G40" s="7"/>
      <c r="P40" s="32">
        <v>0</v>
      </c>
      <c r="Q40" s="20">
        <f>-(price*(1-E40))</f>
        <v>0</v>
      </c>
      <c r="S40" s="31"/>
      <c r="U40" s="3">
        <f>+Q40</f>
        <v>0</v>
      </c>
    </row>
    <row r="41" spans="2:21" x14ac:dyDescent="0.3">
      <c r="C41" s="5" t="s">
        <v>156</v>
      </c>
      <c r="E41" s="8">
        <f>+price*E40</f>
        <v>0</v>
      </c>
      <c r="P41" s="32">
        <v>1</v>
      </c>
      <c r="Q41" s="21">
        <f>+G28</f>
        <v>0</v>
      </c>
      <c r="S41" s="31"/>
      <c r="U41" s="3">
        <f>+Q41</f>
        <v>0</v>
      </c>
    </row>
    <row r="42" spans="2:21" x14ac:dyDescent="0.3">
      <c r="C42" s="5" t="s">
        <v>68</v>
      </c>
      <c r="E42" s="71">
        <f>+'Financial Model'!G62</f>
        <v>4.4999999999999998E-2</v>
      </c>
      <c r="F42" s="5" t="s">
        <v>60</v>
      </c>
      <c r="G42" s="7"/>
      <c r="H42" s="5" t="s">
        <v>61</v>
      </c>
      <c r="I42" s="22">
        <f>-PMT(E42/12,12*E43,price*E40,0)</f>
        <v>0</v>
      </c>
      <c r="P42" s="32">
        <v>2</v>
      </c>
      <c r="Q42" s="21" t="e">
        <f>+H28</f>
        <v>#DIV/0!</v>
      </c>
      <c r="S42" s="31"/>
      <c r="U42" s="3" t="e">
        <f>+Q42</f>
        <v>#DIV/0!</v>
      </c>
    </row>
    <row r="43" spans="2:21" x14ac:dyDescent="0.3">
      <c r="C43" s="5" t="s">
        <v>58</v>
      </c>
      <c r="E43" s="72">
        <f>+'Financial Model'!J62</f>
        <v>30</v>
      </c>
      <c r="F43" s="5" t="s">
        <v>59</v>
      </c>
      <c r="G43" s="7"/>
      <c r="H43" s="5" t="s">
        <v>5</v>
      </c>
      <c r="I43" s="23">
        <f>+I42*12</f>
        <v>0</v>
      </c>
      <c r="P43" s="32">
        <v>3</v>
      </c>
      <c r="Q43" s="21" t="e">
        <f>+I28</f>
        <v>#DIV/0!</v>
      </c>
      <c r="S43" s="31"/>
      <c r="U43" s="3" t="e">
        <f>+Q43</f>
        <v>#DIV/0!</v>
      </c>
    </row>
    <row r="44" spans="2:21" x14ac:dyDescent="0.3">
      <c r="P44" s="32">
        <v>4</v>
      </c>
      <c r="Q44" s="21" t="e">
        <f>+J28</f>
        <v>#DIV/0!</v>
      </c>
      <c r="S44" s="31"/>
      <c r="U44" s="3" t="e">
        <f>+Q44</f>
        <v>#DIV/0!</v>
      </c>
    </row>
    <row r="45" spans="2:21" x14ac:dyDescent="0.3">
      <c r="P45" s="33">
        <v>5</v>
      </c>
      <c r="Q45" s="34" t="e">
        <f>+K28</f>
        <v>#DIV/0!</v>
      </c>
      <c r="R45" s="35" t="s">
        <v>53</v>
      </c>
      <c r="S45" s="36" t="e">
        <f>+Q24</f>
        <v>#DIV/0!</v>
      </c>
      <c r="U45" s="3" t="e">
        <f>+Q45+S45</f>
        <v>#DIV/0!</v>
      </c>
    </row>
    <row r="46" spans="2:21" ht="3" customHeight="1" x14ac:dyDescent="0.3">
      <c r="P46" s="2"/>
    </row>
    <row r="47" spans="2:21" x14ac:dyDescent="0.3">
      <c r="G47" s="7"/>
      <c r="O47" s="1" t="s">
        <v>65</v>
      </c>
      <c r="P47" s="26" t="s">
        <v>54</v>
      </c>
      <c r="Q47" s="27"/>
      <c r="R47" s="28"/>
      <c r="S47" s="29" t="e">
        <f>IRR(U49:U55)</f>
        <v>#VALUE!</v>
      </c>
    </row>
    <row r="48" spans="2:21" x14ac:dyDescent="0.3">
      <c r="G48" s="7"/>
      <c r="P48" s="30" t="s">
        <v>51</v>
      </c>
      <c r="Q48" s="19" t="s">
        <v>52</v>
      </c>
      <c r="S48" s="31"/>
    </row>
    <row r="49" spans="3:21" x14ac:dyDescent="0.3">
      <c r="C49" s="1" t="s">
        <v>70</v>
      </c>
      <c r="G49" s="7"/>
      <c r="P49" s="32">
        <v>0</v>
      </c>
      <c r="Q49" s="20">
        <f>+Q40</f>
        <v>0</v>
      </c>
      <c r="S49" s="31"/>
      <c r="U49" s="3">
        <f>+Q49</f>
        <v>0</v>
      </c>
    </row>
    <row r="50" spans="3:21" x14ac:dyDescent="0.3">
      <c r="C50" s="38" t="s">
        <v>71</v>
      </c>
      <c r="E50" s="39" t="e">
        <f>+price/G13</f>
        <v>#DIV/0!</v>
      </c>
      <c r="F50" s="5" t="s">
        <v>72</v>
      </c>
      <c r="G50" s="7"/>
      <c r="P50" s="32"/>
      <c r="Q50" s="20"/>
      <c r="S50" s="31"/>
      <c r="U50" s="3"/>
    </row>
    <row r="51" spans="3:21" x14ac:dyDescent="0.3">
      <c r="C51" s="38" t="s">
        <v>66</v>
      </c>
      <c r="E51" s="25" t="e">
        <f>+G16/price</f>
        <v>#DIV/0!</v>
      </c>
      <c r="F51" s="5" t="s">
        <v>73</v>
      </c>
      <c r="G51" s="7"/>
      <c r="P51" s="32">
        <v>1</v>
      </c>
      <c r="Q51" s="21">
        <f>+G30</f>
        <v>0</v>
      </c>
      <c r="S51" s="31"/>
      <c r="U51" s="3">
        <f>+Q51</f>
        <v>0</v>
      </c>
    </row>
    <row r="52" spans="3:21" x14ac:dyDescent="0.3">
      <c r="C52" s="38" t="s">
        <v>67</v>
      </c>
      <c r="E52" s="25" t="e">
        <f>+G28/-Q40</f>
        <v>#DIV/0!</v>
      </c>
      <c r="F52" s="5" t="s">
        <v>74</v>
      </c>
      <c r="G52" s="7"/>
      <c r="P52" s="32">
        <v>2</v>
      </c>
      <c r="Q52" s="21" t="e">
        <f>+H30</f>
        <v>#DIV/0!</v>
      </c>
      <c r="S52" s="31"/>
      <c r="U52" s="3" t="e">
        <f>+Q52</f>
        <v>#DIV/0!</v>
      </c>
    </row>
    <row r="53" spans="3:21" x14ac:dyDescent="0.3">
      <c r="G53" s="7"/>
      <c r="P53" s="32">
        <v>3</v>
      </c>
      <c r="Q53" s="21" t="e">
        <f>+I30</f>
        <v>#DIV/0!</v>
      </c>
      <c r="S53" s="31"/>
      <c r="U53" s="3" t="e">
        <f>+Q53</f>
        <v>#DIV/0!</v>
      </c>
    </row>
    <row r="54" spans="3:21" x14ac:dyDescent="0.3">
      <c r="G54" s="7"/>
      <c r="P54" s="32">
        <v>4</v>
      </c>
      <c r="Q54" s="21" t="e">
        <f>+J30</f>
        <v>#DIV/0!</v>
      </c>
      <c r="S54" s="31"/>
      <c r="U54" s="3" t="e">
        <f>+Q54</f>
        <v>#DIV/0!</v>
      </c>
    </row>
    <row r="55" spans="3:21" x14ac:dyDescent="0.3">
      <c r="G55" s="7"/>
      <c r="P55" s="33">
        <v>5</v>
      </c>
      <c r="Q55" s="34" t="e">
        <f>+K30</f>
        <v>#DIV/0!</v>
      </c>
      <c r="R55" s="35" t="s">
        <v>53</v>
      </c>
      <c r="S55" s="36" t="e">
        <f>+Q27</f>
        <v>#DIV/0!</v>
      </c>
      <c r="U55" s="3" t="e">
        <f>+Q55+S55</f>
        <v>#DIV/0!</v>
      </c>
    </row>
    <row r="56" spans="3:21" ht="3" customHeight="1" x14ac:dyDescent="0.3">
      <c r="G56" s="7"/>
    </row>
    <row r="57" spans="3:21" x14ac:dyDescent="0.3">
      <c r="C57" s="5" t="s">
        <v>157</v>
      </c>
      <c r="G57" s="7"/>
      <c r="O57" s="1" t="s">
        <v>55</v>
      </c>
      <c r="P57" s="1"/>
      <c r="R57" s="1"/>
      <c r="S57" s="24" t="e">
        <f>+(S38-S47)/S38</f>
        <v>#VALUE!</v>
      </c>
    </row>
    <row r="58" spans="3:21" x14ac:dyDescent="0.3">
      <c r="G58" s="7"/>
    </row>
    <row r="83" spans="4:4" x14ac:dyDescent="0.3">
      <c r="D83" s="4" t="e">
        <f>IRR(D76:D81,0.1)</f>
        <v>#NUM!</v>
      </c>
    </row>
  </sheetData>
  <sheetProtection password="EECB" sheet="1" selectLockedCells="1" selectUnlockedCells="1"/>
  <pageMargins left="0.25" right="0.25" top="0.75" bottom="0.75" header="0.3" footer="0.3"/>
  <pageSetup scale="58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1"/>
  <sheetViews>
    <sheetView workbookViewId="0">
      <selection activeCell="D16" sqref="D16"/>
    </sheetView>
  </sheetViews>
  <sheetFormatPr defaultRowHeight="15.6" x14ac:dyDescent="0.3"/>
  <cols>
    <col min="1" max="1" width="23.33203125" style="229" customWidth="1"/>
    <col min="2" max="2" width="1.21875" style="229" customWidth="1"/>
    <col min="3" max="3" width="29.109375" style="229" customWidth="1"/>
    <col min="4" max="4" width="12" style="229" bestFit="1" customWidth="1"/>
    <col min="5" max="9" width="11" style="229" bestFit="1" customWidth="1"/>
    <col min="10" max="10" width="1.5546875" style="229" customWidth="1"/>
    <col min="11" max="12" width="11" style="229" bestFit="1" customWidth="1"/>
    <col min="13" max="15" width="12" style="229" bestFit="1" customWidth="1"/>
    <col min="16" max="16384" width="8.88671875" style="229"/>
  </cols>
  <sheetData>
    <row r="1" spans="1:15" ht="66.900000000000006" customHeight="1" x14ac:dyDescent="0.3">
      <c r="A1" s="355" t="s">
        <v>268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</row>
    <row r="2" spans="1:15" ht="14.25" customHeight="1" x14ac:dyDescent="0.3">
      <c r="A2" s="356"/>
      <c r="B2" s="230"/>
      <c r="C2" s="345" t="s">
        <v>269</v>
      </c>
      <c r="D2" s="347" t="s">
        <v>218</v>
      </c>
      <c r="E2" s="349" t="s">
        <v>219</v>
      </c>
      <c r="F2" s="350"/>
      <c r="G2" s="350"/>
      <c r="H2" s="350"/>
      <c r="I2" s="351"/>
      <c r="J2" s="342"/>
      <c r="K2" s="352" t="s">
        <v>220</v>
      </c>
      <c r="L2" s="353"/>
      <c r="M2" s="353"/>
      <c r="N2" s="353"/>
      <c r="O2" s="354"/>
    </row>
    <row r="3" spans="1:15" ht="14.25" customHeight="1" x14ac:dyDescent="0.3">
      <c r="A3" s="356"/>
      <c r="B3" s="231"/>
      <c r="C3" s="346"/>
      <c r="D3" s="348"/>
      <c r="E3" s="254" t="s">
        <v>221</v>
      </c>
      <c r="F3" s="255" t="s">
        <v>222</v>
      </c>
      <c r="G3" s="255" t="s">
        <v>223</v>
      </c>
      <c r="H3" s="256" t="s">
        <v>224</v>
      </c>
      <c r="I3" s="256" t="s">
        <v>225</v>
      </c>
      <c r="J3" s="342"/>
      <c r="K3" s="255" t="s">
        <v>221</v>
      </c>
      <c r="L3" s="256" t="s">
        <v>222</v>
      </c>
      <c r="M3" s="256" t="s">
        <v>223</v>
      </c>
      <c r="N3" s="256" t="s">
        <v>224</v>
      </c>
      <c r="O3" s="256" t="s">
        <v>225</v>
      </c>
    </row>
    <row r="4" spans="1:15" ht="14.25" customHeight="1" x14ac:dyDescent="0.3">
      <c r="A4" s="356"/>
      <c r="B4" s="231"/>
      <c r="C4" s="257" t="s">
        <v>211</v>
      </c>
      <c r="D4" s="258">
        <v>86500</v>
      </c>
      <c r="E4" s="258">
        <v>840</v>
      </c>
      <c r="F4" s="258">
        <v>900</v>
      </c>
      <c r="G4" s="258">
        <v>1080</v>
      </c>
      <c r="H4" s="258">
        <v>1246</v>
      </c>
      <c r="I4" s="258">
        <v>1390</v>
      </c>
      <c r="J4" s="259"/>
      <c r="K4" s="258">
        <v>1120</v>
      </c>
      <c r="L4" s="258">
        <v>1200</v>
      </c>
      <c r="M4" s="258">
        <v>1440</v>
      </c>
      <c r="N4" s="258">
        <v>1662</v>
      </c>
      <c r="O4" s="258">
        <v>1854</v>
      </c>
    </row>
    <row r="5" spans="1:15" ht="14.25" customHeight="1" x14ac:dyDescent="0.3">
      <c r="A5" s="356"/>
      <c r="B5" s="231"/>
      <c r="C5" s="260" t="s">
        <v>226</v>
      </c>
      <c r="D5" s="261">
        <v>61100</v>
      </c>
      <c r="E5" s="261">
        <v>705</v>
      </c>
      <c r="F5" s="261">
        <v>755</v>
      </c>
      <c r="G5" s="261">
        <v>906</v>
      </c>
      <c r="H5" s="261">
        <v>1047</v>
      </c>
      <c r="I5" s="261">
        <v>1168</v>
      </c>
      <c r="J5" s="259"/>
      <c r="K5" s="261">
        <v>940</v>
      </c>
      <c r="L5" s="261">
        <v>1007</v>
      </c>
      <c r="M5" s="261">
        <v>1208</v>
      </c>
      <c r="N5" s="261">
        <v>1396</v>
      </c>
      <c r="O5" s="261">
        <v>1558</v>
      </c>
    </row>
    <row r="6" spans="1:15" ht="14.25" customHeight="1" x14ac:dyDescent="0.3">
      <c r="A6" s="356"/>
      <c r="B6" s="231"/>
      <c r="C6" s="257" t="s">
        <v>212</v>
      </c>
      <c r="D6" s="258">
        <v>95600</v>
      </c>
      <c r="E6" s="258">
        <v>897</v>
      </c>
      <c r="F6" s="258">
        <v>960</v>
      </c>
      <c r="G6" s="258">
        <v>1152</v>
      </c>
      <c r="H6" s="258">
        <v>1331</v>
      </c>
      <c r="I6" s="258">
        <v>1485</v>
      </c>
      <c r="J6" s="262"/>
      <c r="K6" s="258">
        <v>1196</v>
      </c>
      <c r="L6" s="258">
        <v>1281</v>
      </c>
      <c r="M6" s="258">
        <v>1536</v>
      </c>
      <c r="N6" s="258">
        <v>1775</v>
      </c>
      <c r="O6" s="258">
        <v>1980</v>
      </c>
    </row>
    <row r="7" spans="1:15" ht="14.25" customHeight="1" x14ac:dyDescent="0.3">
      <c r="A7" s="356"/>
      <c r="B7" s="231"/>
      <c r="C7" s="260" t="s">
        <v>227</v>
      </c>
      <c r="D7" s="261">
        <v>59600</v>
      </c>
      <c r="E7" s="261">
        <v>679</v>
      </c>
      <c r="F7" s="261">
        <v>727</v>
      </c>
      <c r="G7" s="261">
        <v>873</v>
      </c>
      <c r="H7" s="261">
        <v>1008</v>
      </c>
      <c r="I7" s="261">
        <v>1125</v>
      </c>
      <c r="J7" s="259"/>
      <c r="K7" s="261">
        <v>906</v>
      </c>
      <c r="L7" s="261">
        <v>970</v>
      </c>
      <c r="M7" s="261">
        <v>1164</v>
      </c>
      <c r="N7" s="261">
        <v>1344</v>
      </c>
      <c r="O7" s="261">
        <v>1500</v>
      </c>
    </row>
    <row r="8" spans="1:15" ht="15" customHeight="1" x14ac:dyDescent="0.3">
      <c r="A8" s="356"/>
      <c r="B8" s="231"/>
      <c r="C8" s="257" t="s">
        <v>213</v>
      </c>
      <c r="D8" s="258">
        <v>74900</v>
      </c>
      <c r="E8" s="258">
        <v>717</v>
      </c>
      <c r="F8" s="258">
        <v>768</v>
      </c>
      <c r="G8" s="258">
        <v>921</v>
      </c>
      <c r="H8" s="258">
        <v>1064</v>
      </c>
      <c r="I8" s="258">
        <v>1188</v>
      </c>
      <c r="J8" s="259"/>
      <c r="K8" s="258">
        <v>956</v>
      </c>
      <c r="L8" s="258">
        <v>1024</v>
      </c>
      <c r="M8" s="258">
        <v>1228</v>
      </c>
      <c r="N8" s="258">
        <v>1419</v>
      </c>
      <c r="O8" s="258">
        <v>1584</v>
      </c>
    </row>
    <row r="9" spans="1:15" ht="14.25" customHeight="1" x14ac:dyDescent="0.3">
      <c r="A9" s="356"/>
      <c r="B9" s="231"/>
      <c r="C9" s="260" t="s">
        <v>228</v>
      </c>
      <c r="D9" s="261">
        <v>82800</v>
      </c>
      <c r="E9" s="261">
        <v>907</v>
      </c>
      <c r="F9" s="261">
        <v>972</v>
      </c>
      <c r="G9" s="261">
        <v>1165</v>
      </c>
      <c r="H9" s="261">
        <v>1347</v>
      </c>
      <c r="I9" s="261">
        <v>1503</v>
      </c>
      <c r="J9" s="259"/>
      <c r="K9" s="261">
        <v>1210</v>
      </c>
      <c r="L9" s="261">
        <v>1296</v>
      </c>
      <c r="M9" s="261">
        <v>1554</v>
      </c>
      <c r="N9" s="261">
        <v>1796</v>
      </c>
      <c r="O9" s="261">
        <v>2004</v>
      </c>
    </row>
    <row r="10" spans="1:15" ht="14.25" customHeight="1" x14ac:dyDescent="0.3">
      <c r="A10" s="356"/>
      <c r="B10" s="231"/>
      <c r="C10" s="257" t="s">
        <v>214</v>
      </c>
      <c r="D10" s="258">
        <v>66700</v>
      </c>
      <c r="E10" s="258">
        <v>685</v>
      </c>
      <c r="F10" s="258">
        <v>734</v>
      </c>
      <c r="G10" s="258">
        <v>880</v>
      </c>
      <c r="H10" s="258">
        <v>1017</v>
      </c>
      <c r="I10" s="258">
        <v>1135</v>
      </c>
      <c r="J10" s="259"/>
      <c r="K10" s="258">
        <v>914</v>
      </c>
      <c r="L10" s="258">
        <v>979</v>
      </c>
      <c r="M10" s="258">
        <v>1174</v>
      </c>
      <c r="N10" s="258">
        <v>1357</v>
      </c>
      <c r="O10" s="258">
        <v>1514</v>
      </c>
    </row>
    <row r="11" spans="1:15" ht="25.8" x14ac:dyDescent="0.3">
      <c r="A11" s="356"/>
      <c r="B11" s="231"/>
      <c r="C11" s="260" t="s">
        <v>270</v>
      </c>
      <c r="D11" s="263">
        <v>65200</v>
      </c>
      <c r="E11" s="263">
        <v>705</v>
      </c>
      <c r="F11" s="263">
        <v>755</v>
      </c>
      <c r="G11" s="263">
        <v>906</v>
      </c>
      <c r="H11" s="263">
        <v>1047</v>
      </c>
      <c r="I11" s="263">
        <v>1168</v>
      </c>
      <c r="J11" s="264"/>
      <c r="K11" s="263">
        <v>940</v>
      </c>
      <c r="L11" s="263">
        <v>1007</v>
      </c>
      <c r="M11" s="263">
        <v>1208</v>
      </c>
      <c r="N11" s="263">
        <v>1396</v>
      </c>
      <c r="O11" s="263">
        <v>1558</v>
      </c>
    </row>
    <row r="12" spans="1:15" ht="25.8" x14ac:dyDescent="0.3">
      <c r="A12" s="356"/>
      <c r="B12" s="231"/>
      <c r="C12" s="260" t="s">
        <v>271</v>
      </c>
      <c r="D12" s="263">
        <v>65200</v>
      </c>
      <c r="E12" s="263">
        <v>724</v>
      </c>
      <c r="F12" s="263">
        <v>776</v>
      </c>
      <c r="G12" s="263">
        <v>931</v>
      </c>
      <c r="H12" s="263">
        <v>1075</v>
      </c>
      <c r="I12" s="263">
        <v>1200</v>
      </c>
      <c r="J12" s="264"/>
      <c r="K12" s="263">
        <v>966</v>
      </c>
      <c r="L12" s="263">
        <v>1035</v>
      </c>
      <c r="M12" s="263">
        <v>1242</v>
      </c>
      <c r="N12" s="263">
        <v>1434</v>
      </c>
      <c r="O12" s="263">
        <v>1600</v>
      </c>
    </row>
    <row r="13" spans="1:15" ht="14.25" customHeight="1" x14ac:dyDescent="0.3">
      <c r="A13" s="356"/>
      <c r="B13" s="231"/>
      <c r="C13" s="257" t="s">
        <v>215</v>
      </c>
      <c r="D13" s="258">
        <v>68100</v>
      </c>
      <c r="E13" s="258">
        <v>715</v>
      </c>
      <c r="F13" s="258">
        <v>766</v>
      </c>
      <c r="G13" s="258">
        <v>919</v>
      </c>
      <c r="H13" s="258">
        <v>1062</v>
      </c>
      <c r="I13" s="258">
        <v>1185</v>
      </c>
      <c r="J13" s="262"/>
      <c r="K13" s="258">
        <v>954</v>
      </c>
      <c r="L13" s="258">
        <v>1022</v>
      </c>
      <c r="M13" s="258">
        <v>1226</v>
      </c>
      <c r="N13" s="258">
        <v>1417</v>
      </c>
      <c r="O13" s="258">
        <v>1580</v>
      </c>
    </row>
    <row r="14" spans="1:15" ht="14.25" customHeight="1" x14ac:dyDescent="0.3">
      <c r="A14" s="356"/>
      <c r="B14" s="231"/>
      <c r="C14" s="260" t="s">
        <v>229</v>
      </c>
      <c r="D14" s="261">
        <v>168500</v>
      </c>
      <c r="E14" s="261">
        <v>1590</v>
      </c>
      <c r="F14" s="261">
        <v>1703</v>
      </c>
      <c r="G14" s="261">
        <v>2043</v>
      </c>
      <c r="H14" s="261">
        <v>2361</v>
      </c>
      <c r="I14" s="261">
        <v>2634</v>
      </c>
      <c r="J14" s="259"/>
      <c r="K14" s="261">
        <v>2120</v>
      </c>
      <c r="L14" s="261">
        <v>2271</v>
      </c>
      <c r="M14" s="261">
        <v>2724</v>
      </c>
      <c r="N14" s="261">
        <v>3148</v>
      </c>
      <c r="O14" s="261">
        <v>3512</v>
      </c>
    </row>
    <row r="15" spans="1:15" ht="14.25" customHeight="1" x14ac:dyDescent="0.3">
      <c r="A15" s="356"/>
      <c r="B15" s="231"/>
      <c r="C15" s="257" t="s">
        <v>216</v>
      </c>
      <c r="D15" s="258">
        <v>69000</v>
      </c>
      <c r="E15" s="258">
        <v>688</v>
      </c>
      <c r="F15" s="258">
        <v>737</v>
      </c>
      <c r="G15" s="258">
        <v>885</v>
      </c>
      <c r="H15" s="258">
        <v>1022</v>
      </c>
      <c r="I15" s="258">
        <v>1140</v>
      </c>
      <c r="J15" s="259"/>
      <c r="K15" s="258">
        <v>918</v>
      </c>
      <c r="L15" s="258">
        <v>983</v>
      </c>
      <c r="M15" s="258">
        <v>1180</v>
      </c>
      <c r="N15" s="258">
        <v>1363</v>
      </c>
      <c r="O15" s="258">
        <v>1520</v>
      </c>
    </row>
    <row r="16" spans="1:15" ht="14.25" customHeight="1" x14ac:dyDescent="0.3">
      <c r="A16" s="356"/>
      <c r="B16" s="231"/>
      <c r="C16" s="260" t="s">
        <v>230</v>
      </c>
      <c r="D16" s="261">
        <v>54500</v>
      </c>
      <c r="E16" s="261">
        <v>687</v>
      </c>
      <c r="F16" s="261">
        <v>736</v>
      </c>
      <c r="G16" s="261">
        <v>883</v>
      </c>
      <c r="H16" s="261">
        <v>1020</v>
      </c>
      <c r="I16" s="261">
        <v>1138</v>
      </c>
      <c r="J16" s="259"/>
      <c r="K16" s="261">
        <v>916</v>
      </c>
      <c r="L16" s="261">
        <v>982</v>
      </c>
      <c r="M16" s="261">
        <v>1178</v>
      </c>
      <c r="N16" s="261">
        <v>1361</v>
      </c>
      <c r="O16" s="261">
        <v>1518</v>
      </c>
    </row>
    <row r="17" spans="1:15" ht="14.25" customHeight="1" x14ac:dyDescent="0.3">
      <c r="A17" s="356"/>
      <c r="B17" s="231"/>
      <c r="C17" s="257" t="s">
        <v>217</v>
      </c>
      <c r="D17" s="258">
        <v>49800</v>
      </c>
      <c r="E17" s="258">
        <v>679</v>
      </c>
      <c r="F17" s="258">
        <v>727</v>
      </c>
      <c r="G17" s="258">
        <v>873</v>
      </c>
      <c r="H17" s="258">
        <v>1008</v>
      </c>
      <c r="I17" s="258">
        <v>1125</v>
      </c>
      <c r="J17" s="262"/>
      <c r="K17" s="258">
        <v>906</v>
      </c>
      <c r="L17" s="258">
        <v>970</v>
      </c>
      <c r="M17" s="258">
        <v>1164</v>
      </c>
      <c r="N17" s="258">
        <v>1344</v>
      </c>
      <c r="O17" s="258">
        <v>1500</v>
      </c>
    </row>
    <row r="18" spans="1:15" ht="14.25" customHeight="1" x14ac:dyDescent="0.3">
      <c r="A18" s="356"/>
      <c r="B18" s="231"/>
      <c r="C18" s="260" t="s">
        <v>231</v>
      </c>
      <c r="D18" s="261">
        <v>76800</v>
      </c>
      <c r="E18" s="261">
        <v>807</v>
      </c>
      <c r="F18" s="261">
        <v>864</v>
      </c>
      <c r="G18" s="261">
        <v>1036</v>
      </c>
      <c r="H18" s="261">
        <v>1197</v>
      </c>
      <c r="I18" s="261">
        <v>1336</v>
      </c>
      <c r="J18" s="259"/>
      <c r="K18" s="261">
        <v>1076</v>
      </c>
      <c r="L18" s="261">
        <v>1152</v>
      </c>
      <c r="M18" s="261">
        <v>1382</v>
      </c>
      <c r="N18" s="261">
        <v>1597</v>
      </c>
      <c r="O18" s="261">
        <v>1782</v>
      </c>
    </row>
    <row r="19" spans="1:15" ht="14.25" customHeight="1" x14ac:dyDescent="0.3">
      <c r="A19" s="356"/>
      <c r="B19" s="231"/>
      <c r="C19" s="357" t="s">
        <v>272</v>
      </c>
      <c r="D19" s="357"/>
      <c r="E19" s="357"/>
      <c r="F19" s="357"/>
      <c r="G19" s="357"/>
      <c r="H19" s="265"/>
      <c r="I19" s="265"/>
      <c r="J19" s="266"/>
      <c r="K19" s="265"/>
      <c r="L19" s="265"/>
      <c r="M19" s="265"/>
      <c r="N19" s="265"/>
      <c r="O19" s="265"/>
    </row>
    <row r="20" spans="1:15" ht="7.2" customHeight="1" x14ac:dyDescent="0.3">
      <c r="A20" s="356"/>
      <c r="B20" s="231"/>
      <c r="C20" s="267"/>
      <c r="D20" s="267"/>
      <c r="E20" s="267"/>
      <c r="F20" s="267"/>
      <c r="G20" s="267"/>
      <c r="H20" s="267"/>
      <c r="I20" s="267"/>
      <c r="J20" s="267"/>
      <c r="K20" s="267"/>
      <c r="L20" s="267"/>
      <c r="M20" s="267"/>
      <c r="N20" s="267"/>
      <c r="O20" s="267"/>
    </row>
    <row r="21" spans="1:15" ht="15" customHeight="1" x14ac:dyDescent="0.3">
      <c r="A21" s="356"/>
      <c r="B21" s="231"/>
      <c r="C21" s="358" t="s">
        <v>273</v>
      </c>
      <c r="D21" s="347" t="s">
        <v>218</v>
      </c>
      <c r="E21" s="339" t="s">
        <v>274</v>
      </c>
      <c r="F21" s="340"/>
      <c r="G21" s="340"/>
      <c r="H21" s="340"/>
      <c r="I21" s="341"/>
      <c r="J21" s="342"/>
      <c r="K21" s="339" t="s">
        <v>275</v>
      </c>
      <c r="L21" s="340"/>
      <c r="M21" s="340"/>
      <c r="N21" s="340"/>
      <c r="O21" s="341"/>
    </row>
    <row r="22" spans="1:15" ht="14.25" customHeight="1" x14ac:dyDescent="0.3">
      <c r="A22" s="356"/>
      <c r="B22" s="231"/>
      <c r="C22" s="359"/>
      <c r="D22" s="348"/>
      <c r="E22" s="268">
        <v>1</v>
      </c>
      <c r="F22" s="268">
        <v>2</v>
      </c>
      <c r="G22" s="268">
        <v>3</v>
      </c>
      <c r="H22" s="268">
        <v>4</v>
      </c>
      <c r="I22" s="268">
        <v>5</v>
      </c>
      <c r="J22" s="342"/>
      <c r="K22" s="268">
        <v>1</v>
      </c>
      <c r="L22" s="268">
        <v>2</v>
      </c>
      <c r="M22" s="268">
        <v>3</v>
      </c>
      <c r="N22" s="268">
        <v>4</v>
      </c>
      <c r="O22" s="268">
        <v>5</v>
      </c>
    </row>
    <row r="23" spans="1:15" ht="14.25" customHeight="1" x14ac:dyDescent="0.3">
      <c r="A23" s="356"/>
      <c r="B23" s="231"/>
      <c r="C23" s="257" t="s">
        <v>211</v>
      </c>
      <c r="D23" s="258">
        <v>86500</v>
      </c>
      <c r="E23" s="258">
        <v>33600</v>
      </c>
      <c r="F23" s="258">
        <v>38400</v>
      </c>
      <c r="G23" s="258">
        <v>43200</v>
      </c>
      <c r="H23" s="258">
        <v>47940</v>
      </c>
      <c r="I23" s="258">
        <v>51780</v>
      </c>
      <c r="J23" s="269"/>
      <c r="K23" s="258">
        <v>44800</v>
      </c>
      <c r="L23" s="258">
        <v>51200</v>
      </c>
      <c r="M23" s="258">
        <v>57600</v>
      </c>
      <c r="N23" s="258">
        <v>63920</v>
      </c>
      <c r="O23" s="258">
        <v>69040</v>
      </c>
    </row>
    <row r="24" spans="1:15" ht="14.25" customHeight="1" x14ac:dyDescent="0.3">
      <c r="A24" s="356"/>
      <c r="B24" s="231"/>
      <c r="C24" s="260" t="s">
        <v>226</v>
      </c>
      <c r="D24" s="261">
        <v>61100</v>
      </c>
      <c r="E24" s="261">
        <v>28200</v>
      </c>
      <c r="F24" s="261">
        <v>3220</v>
      </c>
      <c r="G24" s="261">
        <v>36240</v>
      </c>
      <c r="H24" s="261">
        <v>40260</v>
      </c>
      <c r="I24" s="261">
        <v>43500</v>
      </c>
      <c r="J24" s="270"/>
      <c r="K24" s="261">
        <v>37600</v>
      </c>
      <c r="L24" s="261">
        <v>42960</v>
      </c>
      <c r="M24" s="261">
        <v>4820</v>
      </c>
      <c r="N24" s="261">
        <v>53680</v>
      </c>
      <c r="O24" s="261">
        <v>58000</v>
      </c>
    </row>
    <row r="25" spans="1:15" ht="14.25" customHeight="1" x14ac:dyDescent="0.3">
      <c r="A25" s="356"/>
      <c r="B25" s="231"/>
      <c r="C25" s="257" t="s">
        <v>212</v>
      </c>
      <c r="D25" s="258">
        <v>95600</v>
      </c>
      <c r="E25" s="258">
        <v>35880</v>
      </c>
      <c r="F25" s="258">
        <v>40980</v>
      </c>
      <c r="G25" s="258">
        <v>46080</v>
      </c>
      <c r="H25" s="258">
        <v>51180</v>
      </c>
      <c r="I25" s="258">
        <v>55320</v>
      </c>
      <c r="J25" s="269"/>
      <c r="K25" s="258">
        <v>47840</v>
      </c>
      <c r="L25" s="258">
        <v>54640</v>
      </c>
      <c r="M25" s="258">
        <v>61440</v>
      </c>
      <c r="N25" s="258">
        <v>68240</v>
      </c>
      <c r="O25" s="258">
        <v>73760</v>
      </c>
    </row>
    <row r="26" spans="1:15" ht="14.25" customHeight="1" x14ac:dyDescent="0.3">
      <c r="A26" s="356"/>
      <c r="B26" s="231"/>
      <c r="C26" s="260" t="s">
        <v>227</v>
      </c>
      <c r="D26" s="261">
        <v>59600</v>
      </c>
      <c r="E26" s="261">
        <v>27180</v>
      </c>
      <c r="F26" s="261">
        <v>31020</v>
      </c>
      <c r="G26" s="261">
        <v>34920</v>
      </c>
      <c r="H26" s="261">
        <v>38760</v>
      </c>
      <c r="I26" s="261">
        <v>41880</v>
      </c>
      <c r="J26" s="270"/>
      <c r="K26" s="261">
        <v>36240</v>
      </c>
      <c r="L26" s="261">
        <v>41360</v>
      </c>
      <c r="M26" s="261">
        <v>46560</v>
      </c>
      <c r="N26" s="261">
        <v>51680</v>
      </c>
      <c r="O26" s="261">
        <v>55840</v>
      </c>
    </row>
    <row r="27" spans="1:15" ht="14.25" customHeight="1" x14ac:dyDescent="0.3">
      <c r="A27" s="356"/>
      <c r="B27" s="231"/>
      <c r="C27" s="257" t="s">
        <v>213</v>
      </c>
      <c r="D27" s="258">
        <v>74900</v>
      </c>
      <c r="E27" s="258">
        <v>28680</v>
      </c>
      <c r="F27" s="258">
        <v>32760</v>
      </c>
      <c r="G27" s="258">
        <v>36840</v>
      </c>
      <c r="H27" s="258">
        <v>40920</v>
      </c>
      <c r="I27" s="258">
        <v>44220</v>
      </c>
      <c r="J27" s="343"/>
      <c r="K27" s="258">
        <v>38240</v>
      </c>
      <c r="L27" s="258">
        <v>43680</v>
      </c>
      <c r="M27" s="258">
        <v>49120</v>
      </c>
      <c r="N27" s="258">
        <v>54560</v>
      </c>
      <c r="O27" s="258">
        <v>58960</v>
      </c>
    </row>
    <row r="28" spans="1:15" ht="14.25" customHeight="1" x14ac:dyDescent="0.3">
      <c r="A28" s="356"/>
      <c r="B28" s="231"/>
      <c r="C28" s="260" t="s">
        <v>228</v>
      </c>
      <c r="D28" s="261">
        <v>92000</v>
      </c>
      <c r="E28" s="261">
        <v>36300</v>
      </c>
      <c r="F28" s="261">
        <v>41460</v>
      </c>
      <c r="G28" s="261">
        <v>46620</v>
      </c>
      <c r="H28" s="261">
        <v>51780</v>
      </c>
      <c r="I28" s="261">
        <v>55980</v>
      </c>
      <c r="J28" s="343"/>
      <c r="K28" s="261">
        <v>48400</v>
      </c>
      <c r="L28" s="261">
        <v>55280</v>
      </c>
      <c r="M28" s="261">
        <v>62160</v>
      </c>
      <c r="N28" s="261">
        <v>69040</v>
      </c>
      <c r="O28" s="261">
        <v>74640</v>
      </c>
    </row>
    <row r="29" spans="1:15" ht="14.25" customHeight="1" x14ac:dyDescent="0.3">
      <c r="A29" s="356"/>
      <c r="B29" s="231"/>
      <c r="C29" s="257" t="s">
        <v>214</v>
      </c>
      <c r="D29" s="258">
        <v>66700</v>
      </c>
      <c r="E29" s="258">
        <v>27420</v>
      </c>
      <c r="F29" s="258">
        <v>31320</v>
      </c>
      <c r="G29" s="258">
        <v>35220</v>
      </c>
      <c r="H29" s="258">
        <v>39120</v>
      </c>
      <c r="I29" s="258">
        <v>42300</v>
      </c>
      <c r="J29" s="344"/>
      <c r="K29" s="258">
        <v>36560</v>
      </c>
      <c r="L29" s="258">
        <v>41760</v>
      </c>
      <c r="M29" s="258">
        <v>46960</v>
      </c>
      <c r="N29" s="258">
        <v>52160</v>
      </c>
      <c r="O29" s="258">
        <v>56400</v>
      </c>
    </row>
    <row r="30" spans="1:15" ht="25.8" x14ac:dyDescent="0.3">
      <c r="A30" s="356"/>
      <c r="B30" s="231"/>
      <c r="C30" s="260" t="s">
        <v>270</v>
      </c>
      <c r="D30" s="271">
        <v>65200</v>
      </c>
      <c r="E30" s="271">
        <v>28200</v>
      </c>
      <c r="F30" s="261">
        <v>32220</v>
      </c>
      <c r="G30" s="261">
        <v>36240</v>
      </c>
      <c r="H30" s="261">
        <v>40260</v>
      </c>
      <c r="I30" s="261">
        <v>43500</v>
      </c>
      <c r="J30" s="270"/>
      <c r="K30" s="261">
        <v>37600</v>
      </c>
      <c r="L30" s="261">
        <v>42960</v>
      </c>
      <c r="M30" s="261">
        <v>48320</v>
      </c>
      <c r="N30" s="261">
        <v>53680</v>
      </c>
      <c r="O30" s="261">
        <v>58000</v>
      </c>
    </row>
    <row r="31" spans="1:15" ht="25.8" x14ac:dyDescent="0.3">
      <c r="A31" s="356"/>
      <c r="B31" s="231"/>
      <c r="C31" s="260" t="s">
        <v>271</v>
      </c>
      <c r="D31" s="271">
        <v>65200</v>
      </c>
      <c r="E31" s="271">
        <v>28980</v>
      </c>
      <c r="F31" s="261">
        <v>33120</v>
      </c>
      <c r="G31" s="261">
        <v>37260</v>
      </c>
      <c r="H31" s="261">
        <v>41340</v>
      </c>
      <c r="I31" s="261">
        <v>44700</v>
      </c>
      <c r="J31" s="270"/>
      <c r="K31" s="261">
        <v>38640</v>
      </c>
      <c r="L31" s="261">
        <v>44160</v>
      </c>
      <c r="M31" s="261">
        <v>49680</v>
      </c>
      <c r="N31" s="261">
        <v>55120</v>
      </c>
      <c r="O31" s="261">
        <v>59600</v>
      </c>
    </row>
    <row r="32" spans="1:15" ht="14.25" customHeight="1" x14ac:dyDescent="0.3">
      <c r="A32" s="356"/>
      <c r="B32" s="231"/>
      <c r="C32" s="257" t="s">
        <v>215</v>
      </c>
      <c r="D32" s="258">
        <v>68100</v>
      </c>
      <c r="E32" s="258">
        <v>28620</v>
      </c>
      <c r="F32" s="258">
        <v>32700</v>
      </c>
      <c r="G32" s="258">
        <v>36780</v>
      </c>
      <c r="H32" s="258">
        <v>40860</v>
      </c>
      <c r="I32" s="258">
        <v>44160</v>
      </c>
      <c r="J32" s="343"/>
      <c r="K32" s="258">
        <v>38160</v>
      </c>
      <c r="L32" s="258">
        <v>43600</v>
      </c>
      <c r="M32" s="258">
        <v>49040</v>
      </c>
      <c r="N32" s="258">
        <v>54480</v>
      </c>
      <c r="O32" s="258">
        <v>58880</v>
      </c>
    </row>
    <row r="33" spans="1:15" ht="14.25" customHeight="1" x14ac:dyDescent="0.3">
      <c r="A33" s="356"/>
      <c r="B33" s="231"/>
      <c r="C33" s="260" t="s">
        <v>229</v>
      </c>
      <c r="D33" s="261">
        <v>168500</v>
      </c>
      <c r="E33" s="261">
        <v>63600</v>
      </c>
      <c r="F33" s="261">
        <v>72660</v>
      </c>
      <c r="G33" s="261">
        <v>81720</v>
      </c>
      <c r="H33" s="261">
        <v>90780</v>
      </c>
      <c r="I33" s="261">
        <v>98100</v>
      </c>
      <c r="J33" s="343"/>
      <c r="K33" s="261">
        <v>84800</v>
      </c>
      <c r="L33" s="261">
        <v>96880</v>
      </c>
      <c r="M33" s="261">
        <v>108960</v>
      </c>
      <c r="N33" s="261">
        <v>121040</v>
      </c>
      <c r="O33" s="261">
        <v>130800</v>
      </c>
    </row>
    <row r="34" spans="1:15" ht="14.25" customHeight="1" x14ac:dyDescent="0.3">
      <c r="A34" s="356"/>
      <c r="B34" s="231"/>
      <c r="C34" s="257" t="s">
        <v>216</v>
      </c>
      <c r="D34" s="258">
        <v>69000</v>
      </c>
      <c r="E34" s="258">
        <v>27540</v>
      </c>
      <c r="F34" s="258">
        <v>31440</v>
      </c>
      <c r="G34" s="258">
        <v>35400</v>
      </c>
      <c r="H34" s="258">
        <v>39300</v>
      </c>
      <c r="I34" s="258">
        <v>42480</v>
      </c>
      <c r="J34" s="343"/>
      <c r="K34" s="258">
        <v>36720</v>
      </c>
      <c r="L34" s="258">
        <v>41920</v>
      </c>
      <c r="M34" s="258">
        <v>47200</v>
      </c>
      <c r="N34" s="258">
        <v>52400</v>
      </c>
      <c r="O34" s="258">
        <v>56640</v>
      </c>
    </row>
    <row r="35" spans="1:15" ht="14.25" customHeight="1" x14ac:dyDescent="0.3">
      <c r="A35" s="356"/>
      <c r="B35" s="231"/>
      <c r="C35" s="260" t="s">
        <v>230</v>
      </c>
      <c r="D35" s="261">
        <v>54500</v>
      </c>
      <c r="E35" s="261">
        <v>27480</v>
      </c>
      <c r="F35" s="261">
        <v>31440</v>
      </c>
      <c r="G35" s="261">
        <v>35340</v>
      </c>
      <c r="H35" s="261">
        <v>39240</v>
      </c>
      <c r="I35" s="261">
        <v>42420</v>
      </c>
      <c r="J35" s="343"/>
      <c r="K35" s="261">
        <v>36640</v>
      </c>
      <c r="L35" s="261">
        <v>41920</v>
      </c>
      <c r="M35" s="261">
        <v>47120</v>
      </c>
      <c r="N35" s="261">
        <v>52320</v>
      </c>
      <c r="O35" s="261">
        <v>56560</v>
      </c>
    </row>
    <row r="36" spans="1:15" ht="14.25" customHeight="1" x14ac:dyDescent="0.3">
      <c r="A36" s="356"/>
      <c r="B36" s="231"/>
      <c r="C36" s="257" t="s">
        <v>217</v>
      </c>
      <c r="D36" s="258">
        <v>62200</v>
      </c>
      <c r="E36" s="258">
        <v>27180</v>
      </c>
      <c r="F36" s="258">
        <v>31020</v>
      </c>
      <c r="G36" s="258">
        <v>34920</v>
      </c>
      <c r="H36" s="258">
        <v>38760</v>
      </c>
      <c r="I36" s="258">
        <v>41880</v>
      </c>
      <c r="J36" s="343"/>
      <c r="K36" s="258">
        <v>36240</v>
      </c>
      <c r="L36" s="258">
        <v>41360</v>
      </c>
      <c r="M36" s="258">
        <v>46560</v>
      </c>
      <c r="N36" s="258">
        <v>51680</v>
      </c>
      <c r="O36" s="258">
        <v>55840</v>
      </c>
    </row>
    <row r="37" spans="1:15" ht="14.25" customHeight="1" x14ac:dyDescent="0.3">
      <c r="A37" s="356"/>
      <c r="B37" s="231"/>
      <c r="C37" s="260" t="s">
        <v>231</v>
      </c>
      <c r="D37" s="261">
        <v>76800</v>
      </c>
      <c r="E37" s="261">
        <v>32280</v>
      </c>
      <c r="F37" s="261">
        <v>36840</v>
      </c>
      <c r="G37" s="261">
        <v>41460</v>
      </c>
      <c r="H37" s="261">
        <v>46080</v>
      </c>
      <c r="I37" s="261">
        <v>49740</v>
      </c>
      <c r="J37" s="343"/>
      <c r="K37" s="261">
        <v>43040</v>
      </c>
      <c r="L37" s="261">
        <v>49120</v>
      </c>
      <c r="M37" s="261">
        <v>55280</v>
      </c>
      <c r="N37" s="261">
        <v>61440</v>
      </c>
      <c r="O37" s="261">
        <v>66320</v>
      </c>
    </row>
    <row r="39" spans="1:15" ht="39" customHeight="1" x14ac:dyDescent="0.3">
      <c r="C39" s="338" t="s">
        <v>256</v>
      </c>
      <c r="D39" s="338"/>
      <c r="E39" s="338"/>
      <c r="F39" s="338"/>
      <c r="G39" s="338"/>
    </row>
    <row r="40" spans="1:15" x14ac:dyDescent="0.3">
      <c r="C40" s="272"/>
    </row>
    <row r="41" spans="1:15" x14ac:dyDescent="0.3">
      <c r="G41" s="272" t="s">
        <v>276</v>
      </c>
    </row>
  </sheetData>
  <mergeCells count="15">
    <mergeCell ref="A1:A37"/>
    <mergeCell ref="C19:G19"/>
    <mergeCell ref="C21:C22"/>
    <mergeCell ref="D21:D22"/>
    <mergeCell ref="C2:C3"/>
    <mergeCell ref="D2:D3"/>
    <mergeCell ref="E2:I2"/>
    <mergeCell ref="J2:J3"/>
    <mergeCell ref="K2:O2"/>
    <mergeCell ref="C39:G39"/>
    <mergeCell ref="E21:I21"/>
    <mergeCell ref="J21:J22"/>
    <mergeCell ref="K21:O21"/>
    <mergeCell ref="J27:J29"/>
    <mergeCell ref="J32:J37"/>
  </mergeCells>
  <pageMargins left="0.25" right="0.25" top="0.75" bottom="0.75" header="0.3" footer="0.3"/>
  <pageSetup paperSize="17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Application</vt:lpstr>
      <vt:lpstr>Financial Model</vt:lpstr>
      <vt:lpstr>5year+sale</vt:lpstr>
      <vt:lpstr>Rents &amp; Income Limits</vt:lpstr>
      <vt:lpstr>price</vt:lpstr>
      <vt:lpstr>'5year+sale'!Print_Area</vt:lpstr>
      <vt:lpstr>Application!Print_Area</vt:lpstr>
      <vt:lpstr>'Financial Model'!Print_Area</vt:lpstr>
      <vt:lpstr>'Rents &amp; Income Limits'!Print_Area</vt:lpstr>
      <vt:lpstr>totalsf</vt:lpstr>
      <vt:lpstr>TotalUnits</vt:lpstr>
    </vt:vector>
  </TitlesOfParts>
  <Company>NM Apartment Advisors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Clarke</dc:creator>
  <cp:lastModifiedBy>Alexandrea Romero</cp:lastModifiedBy>
  <cp:lastPrinted>2022-10-02T02:10:11Z</cp:lastPrinted>
  <dcterms:created xsi:type="dcterms:W3CDTF">2005-09-03T22:29:09Z</dcterms:created>
  <dcterms:modified xsi:type="dcterms:W3CDTF">2023-06-12T20:42:17Z</dcterms:modified>
</cp:coreProperties>
</file>